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FST-User\Desktop\"/>
    </mc:Choice>
  </mc:AlternateContent>
  <xr:revisionPtr revIDLastSave="0" documentId="13_ncr:1_{6D3869B5-433C-4675-B037-93C5683E69B5}" xr6:coauthVersionLast="36" xr6:coauthVersionMax="36" xr10:uidLastSave="{00000000-0000-0000-0000-000000000000}"/>
  <bookViews>
    <workbookView xWindow="0" yWindow="0" windowWidth="23040" windowHeight="871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POSEBNI DIO 08006" sheetId="14" r:id="rId8"/>
  </sheets>
  <definedNames>
    <definedName name="_xlnm._FilterDatabase" localSheetId="7" hidden="1">'II.POSEBNI DIO 08006'!$A$5:$E$280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4" l="1"/>
  <c r="D50" i="14"/>
  <c r="D66" i="14"/>
  <c r="D279" i="14"/>
  <c r="C196" i="14"/>
  <c r="D68" i="14"/>
  <c r="D67" i="14"/>
  <c r="D61" i="14"/>
  <c r="D56" i="14"/>
  <c r="D55" i="14"/>
  <c r="D52" i="14"/>
  <c r="D46" i="14"/>
  <c r="D43" i="14"/>
  <c r="D41" i="14"/>
  <c r="D40" i="14"/>
  <c r="D44" i="14"/>
  <c r="D36" i="14"/>
  <c r="D31" i="14"/>
  <c r="D217" i="14"/>
  <c r="D104" i="14" l="1"/>
  <c r="D110" i="14"/>
  <c r="D59" i="14"/>
  <c r="D216" i="14"/>
  <c r="D215" i="14"/>
  <c r="D47" i="14"/>
  <c r="E101" i="14"/>
  <c r="E106" i="14"/>
  <c r="E108" i="14"/>
  <c r="D94" i="14"/>
  <c r="D218" i="14"/>
  <c r="D211" i="14"/>
  <c r="C211" i="14"/>
  <c r="C210" i="14" s="1"/>
  <c r="D33" i="14"/>
  <c r="C33" i="14"/>
  <c r="D263" i="14"/>
  <c r="D265" i="14"/>
  <c r="D270" i="14"/>
  <c r="D272" i="14"/>
  <c r="C270" i="14"/>
  <c r="C269" i="14" s="1"/>
  <c r="D204" i="14"/>
  <c r="C204" i="14"/>
  <c r="D199" i="14"/>
  <c r="D198" i="14" s="1"/>
  <c r="D196" i="14" s="1"/>
  <c r="D195" i="14" s="1"/>
  <c r="C199" i="14"/>
  <c r="C195" i="14"/>
  <c r="D214" i="14" l="1"/>
  <c r="D213" i="14" s="1"/>
  <c r="D42" i="14"/>
  <c r="D210" i="14"/>
  <c r="D269" i="14"/>
  <c r="C267" i="14"/>
  <c r="D268" i="14" l="1"/>
  <c r="D209" i="14"/>
  <c r="D267" i="14"/>
  <c r="D181" i="14" l="1"/>
  <c r="D246" i="14"/>
  <c r="C246" i="14"/>
  <c r="C279" i="14"/>
  <c r="C278" i="14" l="1"/>
  <c r="C277" i="14" s="1"/>
  <c r="C276" i="14" s="1"/>
  <c r="C275" i="14" s="1"/>
  <c r="E180" i="14"/>
  <c r="D30" i="14"/>
  <c r="D178" i="14" l="1"/>
  <c r="D189" i="14"/>
  <c r="C189" i="14"/>
  <c r="D162" i="14"/>
  <c r="D154" i="14"/>
  <c r="D136" i="14"/>
  <c r="D131" i="14"/>
  <c r="C94" i="14"/>
  <c r="D74" i="14"/>
  <c r="C74" i="14"/>
  <c r="D22" i="14"/>
  <c r="C181" i="14"/>
  <c r="E181" i="14" s="1"/>
  <c r="C191" i="14"/>
  <c r="D73" i="14" l="1"/>
  <c r="E266" i="14"/>
  <c r="C265" i="14"/>
  <c r="C264" i="14" s="1"/>
  <c r="C179" i="14"/>
  <c r="C178" i="14" l="1"/>
  <c r="E179" i="14"/>
  <c r="E265" i="14"/>
  <c r="C248" i="14"/>
  <c r="C142" i="14"/>
  <c r="C136" i="14"/>
  <c r="C154" i="14"/>
  <c r="C123" i="14"/>
  <c r="C104" i="14"/>
  <c r="E104" i="14" s="1"/>
  <c r="C91" i="14"/>
  <c r="C87" i="14"/>
  <c r="C227" i="14"/>
  <c r="C177" i="14" l="1"/>
  <c r="E178" i="14"/>
  <c r="E239" i="14"/>
  <c r="D238" i="14"/>
  <c r="C238" i="14"/>
  <c r="C237" i="14" s="1"/>
  <c r="E236" i="14"/>
  <c r="D235" i="14"/>
  <c r="C235" i="14"/>
  <c r="D233" i="14"/>
  <c r="C233" i="14"/>
  <c r="E232" i="14"/>
  <c r="E231" i="14"/>
  <c r="E229" i="14"/>
  <c r="E228" i="14"/>
  <c r="D227" i="14"/>
  <c r="E225" i="14"/>
  <c r="D224" i="14"/>
  <c r="C224" i="14"/>
  <c r="C223" i="14" s="1"/>
  <c r="E93" i="14"/>
  <c r="E264" i="14"/>
  <c r="C263" i="14"/>
  <c r="C262" i="14" s="1"/>
  <c r="C261" i="14" s="1"/>
  <c r="E260" i="14"/>
  <c r="D259" i="14"/>
  <c r="C259" i="14"/>
  <c r="C258" i="14" s="1"/>
  <c r="E257" i="14"/>
  <c r="D256" i="14"/>
  <c r="C256" i="14"/>
  <c r="E255" i="14"/>
  <c r="D254" i="14"/>
  <c r="C254" i="14"/>
  <c r="E249" i="14"/>
  <c r="D248" i="14"/>
  <c r="E244" i="14"/>
  <c r="D243" i="14"/>
  <c r="C243" i="14"/>
  <c r="C242" i="14" s="1"/>
  <c r="C214" i="14"/>
  <c r="C213" i="14" s="1"/>
  <c r="C209" i="14" s="1"/>
  <c r="C208" i="14" s="1"/>
  <c r="C207" i="14" s="1"/>
  <c r="D191" i="14"/>
  <c r="D175" i="14"/>
  <c r="C175" i="14"/>
  <c r="D173" i="14"/>
  <c r="C173" i="14"/>
  <c r="D167" i="14"/>
  <c r="D166" i="14" s="1"/>
  <c r="C167" i="14"/>
  <c r="C166" i="14" s="1"/>
  <c r="D161" i="14"/>
  <c r="C162" i="14"/>
  <c r="C161" i="14"/>
  <c r="E160" i="14"/>
  <c r="E156" i="14"/>
  <c r="E155" i="14"/>
  <c r="E153" i="14"/>
  <c r="D152" i="14"/>
  <c r="C152" i="14"/>
  <c r="E151" i="14"/>
  <c r="E150" i="14"/>
  <c r="E149" i="14"/>
  <c r="E148" i="14"/>
  <c r="E147" i="14"/>
  <c r="E145" i="14"/>
  <c r="E144" i="14"/>
  <c r="E143" i="14"/>
  <c r="E141" i="14"/>
  <c r="E140" i="14"/>
  <c r="E139" i="14"/>
  <c r="E138" i="14"/>
  <c r="E137" i="14"/>
  <c r="E134" i="14"/>
  <c r="E133" i="14"/>
  <c r="E132" i="14"/>
  <c r="C131" i="14"/>
  <c r="E129" i="14"/>
  <c r="D128" i="14"/>
  <c r="C128" i="14"/>
  <c r="E127" i="14"/>
  <c r="D126" i="14"/>
  <c r="C126" i="14"/>
  <c r="E125" i="14"/>
  <c r="E124" i="14"/>
  <c r="D123" i="14"/>
  <c r="E119" i="14"/>
  <c r="D118" i="14"/>
  <c r="C118" i="14"/>
  <c r="C117" i="14" s="1"/>
  <c r="C115" i="14"/>
  <c r="C114" i="14" s="1"/>
  <c r="C110" i="14"/>
  <c r="D102" i="14"/>
  <c r="C102" i="14"/>
  <c r="E99" i="14"/>
  <c r="E97" i="14"/>
  <c r="E92" i="14"/>
  <c r="D91" i="14"/>
  <c r="E90" i="14"/>
  <c r="D87" i="14"/>
  <c r="E85" i="14"/>
  <c r="D84" i="14"/>
  <c r="C84" i="14"/>
  <c r="E83" i="14"/>
  <c r="D82" i="14"/>
  <c r="C82" i="14"/>
  <c r="E81" i="14"/>
  <c r="D80" i="14"/>
  <c r="C80" i="14"/>
  <c r="D71" i="14"/>
  <c r="C66" i="14"/>
  <c r="C65" i="14" s="1"/>
  <c r="E61" i="14"/>
  <c r="C59" i="14"/>
  <c r="E58" i="14"/>
  <c r="D57" i="14"/>
  <c r="C57" i="14"/>
  <c r="E56" i="14"/>
  <c r="E54" i="14"/>
  <c r="E52" i="14"/>
  <c r="E51" i="14"/>
  <c r="E50" i="14"/>
  <c r="E48" i="14"/>
  <c r="E44" i="14"/>
  <c r="E43" i="14"/>
  <c r="C42" i="14"/>
  <c r="E41" i="14"/>
  <c r="E40" i="14"/>
  <c r="D39" i="14"/>
  <c r="C39" i="14"/>
  <c r="E36" i="14"/>
  <c r="D35" i="14"/>
  <c r="D29" i="14" s="1"/>
  <c r="C35" i="14"/>
  <c r="E32" i="14"/>
  <c r="C30" i="14"/>
  <c r="E25" i="14"/>
  <c r="D24" i="14"/>
  <c r="C24" i="14"/>
  <c r="E21" i="14"/>
  <c r="D20" i="14"/>
  <c r="C20" i="14"/>
  <c r="E19" i="14"/>
  <c r="D18" i="14"/>
  <c r="C18" i="14"/>
  <c r="E16" i="14"/>
  <c r="D15" i="14"/>
  <c r="C15" i="14"/>
  <c r="E14" i="14"/>
  <c r="D13" i="14"/>
  <c r="C13" i="14"/>
  <c r="E12" i="14"/>
  <c r="D11" i="14"/>
  <c r="C11" i="14"/>
  <c r="D245" i="14" l="1"/>
  <c r="C109" i="14"/>
  <c r="E191" i="14"/>
  <c r="D177" i="14"/>
  <c r="E177" i="14" s="1"/>
  <c r="D17" i="14"/>
  <c r="D70" i="14"/>
  <c r="C172" i="14"/>
  <c r="C171" i="14" s="1"/>
  <c r="C170" i="14" s="1"/>
  <c r="C169" i="14" s="1"/>
  <c r="D226" i="14"/>
  <c r="D65" i="14"/>
  <c r="C226" i="14"/>
  <c r="C222" i="14" s="1"/>
  <c r="E15" i="14"/>
  <c r="E227" i="14"/>
  <c r="C122" i="14"/>
  <c r="E238" i="14"/>
  <c r="D237" i="14"/>
  <c r="E237" i="14" s="1"/>
  <c r="E235" i="14"/>
  <c r="E224" i="14"/>
  <c r="E94" i="14"/>
  <c r="E248" i="14"/>
  <c r="E142" i="14"/>
  <c r="D223" i="14"/>
  <c r="E136" i="14"/>
  <c r="E18" i="14"/>
  <c r="E57" i="14"/>
  <c r="E126" i="14"/>
  <c r="D172" i="14"/>
  <c r="E243" i="14"/>
  <c r="E254" i="14"/>
  <c r="E91" i="14"/>
  <c r="C29" i="14"/>
  <c r="E35" i="14"/>
  <c r="C10" i="14"/>
  <c r="E13" i="14"/>
  <c r="E259" i="14"/>
  <c r="E256" i="14"/>
  <c r="C245" i="14"/>
  <c r="C241" i="14" s="1"/>
  <c r="C240" i="14" s="1"/>
  <c r="C130" i="14"/>
  <c r="E154" i="14"/>
  <c r="E152" i="14"/>
  <c r="E131" i="14"/>
  <c r="E128" i="14"/>
  <c r="C86" i="14"/>
  <c r="E87" i="14"/>
  <c r="E84" i="14"/>
  <c r="C79" i="14"/>
  <c r="E82" i="14"/>
  <c r="E59" i="14"/>
  <c r="E42" i="14"/>
  <c r="E30" i="14"/>
  <c r="E24" i="14"/>
  <c r="C17" i="14"/>
  <c r="E20" i="14"/>
  <c r="D10" i="14"/>
  <c r="E11" i="14"/>
  <c r="D117" i="14"/>
  <c r="E117" i="14" s="1"/>
  <c r="E118" i="14"/>
  <c r="E39" i="14"/>
  <c r="E80" i="14"/>
  <c r="D79" i="14"/>
  <c r="D86" i="14"/>
  <c r="D109" i="14"/>
  <c r="E123" i="14"/>
  <c r="E161" i="14"/>
  <c r="D38" i="14"/>
  <c r="C47" i="14"/>
  <c r="E47" i="14" s="1"/>
  <c r="D122" i="14"/>
  <c r="D130" i="14"/>
  <c r="D242" i="14"/>
  <c r="D258" i="14"/>
  <c r="E258" i="14" s="1"/>
  <c r="D171" i="14" l="1"/>
  <c r="D28" i="14"/>
  <c r="D222" i="14"/>
  <c r="D241" i="14"/>
  <c r="D208" i="14"/>
  <c r="E171" i="14"/>
  <c r="D9" i="14"/>
  <c r="E122" i="14"/>
  <c r="C78" i="14"/>
  <c r="C77" i="14" s="1"/>
  <c r="C121" i="14"/>
  <c r="C120" i="14" s="1"/>
  <c r="E245" i="14"/>
  <c r="C221" i="14"/>
  <c r="C220" i="14" s="1"/>
  <c r="C8" i="14"/>
  <c r="C7" i="14" s="1"/>
  <c r="E130" i="14"/>
  <c r="E226" i="14"/>
  <c r="E223" i="14"/>
  <c r="E10" i="14"/>
  <c r="C9" i="14"/>
  <c r="E79" i="14"/>
  <c r="E17" i="14"/>
  <c r="E86" i="14"/>
  <c r="E242" i="14"/>
  <c r="C38" i="14"/>
  <c r="C28" i="14" s="1"/>
  <c r="C27" i="14" s="1"/>
  <c r="C26" i="14" s="1"/>
  <c r="D121" i="14"/>
  <c r="E29" i="14"/>
  <c r="D78" i="14"/>
  <c r="E263" i="14"/>
  <c r="D262" i="14"/>
  <c r="D261" i="14" s="1"/>
  <c r="D8" i="14" l="1"/>
  <c r="D170" i="14"/>
  <c r="D169" i="14" s="1"/>
  <c r="E169" i="14" s="1"/>
  <c r="D207" i="14"/>
  <c r="C76" i="14"/>
  <c r="C6" i="14" s="1"/>
  <c r="E38" i="14"/>
  <c r="E262" i="14"/>
  <c r="E261" i="14"/>
  <c r="D120" i="14"/>
  <c r="E120" i="14" s="1"/>
  <c r="E121" i="14"/>
  <c r="D27" i="14"/>
  <c r="E28" i="14"/>
  <c r="E9" i="14"/>
  <c r="E78" i="14"/>
  <c r="E77" i="14" s="1"/>
  <c r="D77" i="14"/>
  <c r="E241" i="14"/>
  <c r="D240" i="14"/>
  <c r="E222" i="14" s="1"/>
  <c r="E170" i="14" l="1"/>
  <c r="D76" i="14"/>
  <c r="D221" i="14"/>
  <c r="E27" i="14"/>
  <c r="D26" i="14"/>
  <c r="E240" i="14"/>
  <c r="E8" i="14"/>
  <c r="D7" i="14"/>
  <c r="E76" i="14" l="1"/>
  <c r="E221" i="14"/>
  <c r="D220" i="14"/>
  <c r="E220" i="14" s="1"/>
  <c r="E26" i="14"/>
  <c r="E7" i="14"/>
  <c r="C35" i="7" l="1"/>
  <c r="I24" i="1" l="1"/>
  <c r="K24" i="1" s="1"/>
  <c r="K25" i="1"/>
  <c r="J25" i="1"/>
  <c r="J24" i="1" l="1"/>
  <c r="D10" i="8"/>
  <c r="F11" i="8"/>
  <c r="F10" i="8" s="1"/>
  <c r="E11" i="8"/>
  <c r="H11" i="8" s="1"/>
  <c r="D11" i="8"/>
  <c r="C11" i="8"/>
  <c r="G11" i="8" s="1"/>
  <c r="D13" i="8"/>
  <c r="F14" i="8"/>
  <c r="F13" i="8" s="1"/>
  <c r="E14" i="8"/>
  <c r="H14" i="8" s="1"/>
  <c r="D14" i="8"/>
  <c r="C14" i="8"/>
  <c r="C13" i="8" s="1"/>
  <c r="F16" i="8"/>
  <c r="E16" i="8"/>
  <c r="H16" i="8" s="1"/>
  <c r="D16" i="8"/>
  <c r="C16" i="8"/>
  <c r="F18" i="8"/>
  <c r="E18" i="8"/>
  <c r="H18" i="8" s="1"/>
  <c r="D18" i="8"/>
  <c r="C18" i="8"/>
  <c r="H19" i="8"/>
  <c r="G19" i="8"/>
  <c r="G18" i="8"/>
  <c r="H17" i="8"/>
  <c r="G17" i="8"/>
  <c r="G16" i="8"/>
  <c r="H15" i="8"/>
  <c r="G15" i="8"/>
  <c r="G14" i="8"/>
  <c r="H12" i="8"/>
  <c r="G12" i="8"/>
  <c r="E17" i="7"/>
  <c r="H22" i="1" s="1"/>
  <c r="D17" i="7"/>
  <c r="G22" i="1" s="1"/>
  <c r="F19" i="7"/>
  <c r="C19" i="7"/>
  <c r="F24" i="7"/>
  <c r="H24" i="7" s="1"/>
  <c r="C24" i="7"/>
  <c r="F22" i="7"/>
  <c r="H22" i="7" s="1"/>
  <c r="C22" i="7"/>
  <c r="H26" i="7"/>
  <c r="G26" i="7"/>
  <c r="H25" i="7"/>
  <c r="G25" i="7"/>
  <c r="H23" i="7"/>
  <c r="G23" i="7"/>
  <c r="H21" i="7"/>
  <c r="G21" i="7"/>
  <c r="H20" i="7"/>
  <c r="G20" i="7"/>
  <c r="H19" i="7"/>
  <c r="G22" i="7" l="1"/>
  <c r="F18" i="7"/>
  <c r="G19" i="7"/>
  <c r="C18" i="7"/>
  <c r="E13" i="8"/>
  <c r="E10" i="8"/>
  <c r="C10" i="8"/>
  <c r="G10" i="8" s="1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K21" i="1" s="1"/>
  <c r="C10" i="7"/>
  <c r="F21" i="1" s="1"/>
  <c r="F28" i="7"/>
  <c r="C28" i="7"/>
  <c r="G28" i="7" s="1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F11" i="10"/>
  <c r="E11" i="10"/>
  <c r="H11" i="10" s="1"/>
  <c r="D11" i="10"/>
  <c r="C11" i="10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G13" i="10"/>
  <c r="G13" i="4"/>
  <c r="G11" i="10"/>
  <c r="F27" i="7"/>
  <c r="H27" i="7" s="1"/>
  <c r="G30" i="7"/>
  <c r="H28" i="7"/>
  <c r="D10" i="10"/>
  <c r="H45" i="4"/>
  <c r="H41" i="4"/>
  <c r="H33" i="4"/>
  <c r="H17" i="4"/>
  <c r="H13" i="4"/>
  <c r="H13" i="10"/>
  <c r="E27" i="4"/>
  <c r="F27" i="4"/>
  <c r="E10" i="10"/>
  <c r="H10" i="10" s="1"/>
  <c r="C32" i="7"/>
  <c r="G43" i="4"/>
  <c r="G41" i="4"/>
  <c r="G35" i="4"/>
  <c r="G33" i="4"/>
  <c r="G31" i="4"/>
  <c r="G28" i="4"/>
  <c r="G23" i="4"/>
  <c r="G17" i="4"/>
  <c r="G11" i="4"/>
  <c r="F32" i="7"/>
  <c r="F17" i="7" s="1"/>
  <c r="I22" i="1" s="1"/>
  <c r="K22" i="1" s="1"/>
  <c r="J21" i="1"/>
  <c r="D27" i="4"/>
  <c r="C10" i="10"/>
  <c r="G10" i="10" s="1"/>
  <c r="C27" i="7"/>
  <c r="G27" i="7" s="1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F34" i="2" s="1"/>
  <c r="H34" i="2" s="1"/>
  <c r="C42" i="2"/>
  <c r="F46" i="2"/>
  <c r="C46" i="2"/>
  <c r="F48" i="2"/>
  <c r="C48" i="2"/>
  <c r="F52" i="2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G27" i="4" l="1"/>
  <c r="H27" i="4"/>
  <c r="H32" i="7"/>
  <c r="F71" i="2"/>
  <c r="F58" i="2"/>
  <c r="G58" i="2" s="1"/>
  <c r="F51" i="2"/>
  <c r="G51" i="2" s="1"/>
  <c r="F45" i="2"/>
  <c r="F12" i="2"/>
  <c r="H12" i="2" s="1"/>
  <c r="C17" i="7"/>
  <c r="G83" i="6"/>
  <c r="G78" i="6"/>
  <c r="C51" i="2"/>
  <c r="C45" i="2"/>
  <c r="C34" i="2"/>
  <c r="G34" i="2" s="1"/>
  <c r="G45" i="2"/>
  <c r="H45" i="2"/>
  <c r="F65" i="2"/>
  <c r="H65" i="2" s="1"/>
  <c r="E10" i="2"/>
  <c r="H10" i="1" s="1"/>
  <c r="G10" i="4"/>
  <c r="H17" i="7"/>
  <c r="C65" i="2"/>
  <c r="D10" i="2"/>
  <c r="G10" i="1" s="1"/>
  <c r="G32" i="7"/>
  <c r="H10" i="4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65" i="2" l="1"/>
  <c r="H58" i="2"/>
  <c r="H51" i="2"/>
  <c r="C11" i="2"/>
  <c r="G11" i="6"/>
  <c r="G84" i="2"/>
  <c r="G80" i="2"/>
  <c r="G12" i="2"/>
  <c r="F11" i="2"/>
  <c r="F10" i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I11" i="1" s="1"/>
  <c r="G87" i="2"/>
  <c r="C76" i="2"/>
  <c r="C70" i="2" s="1"/>
  <c r="F11" i="1" s="1"/>
  <c r="G23" i="1"/>
  <c r="G26" i="1" s="1"/>
  <c r="H12" i="1"/>
  <c r="G11" i="2" l="1"/>
  <c r="H76" i="2"/>
  <c r="J11" i="1"/>
  <c r="K11" i="1"/>
  <c r="G76" i="2"/>
  <c r="C10" i="2"/>
  <c r="I10" i="1"/>
  <c r="K10" i="1" s="1"/>
  <c r="F10" i="2"/>
  <c r="H10" i="2" s="1"/>
  <c r="H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J10" i="1" l="1"/>
  <c r="I12" i="1"/>
  <c r="K12" i="1" s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J12" i="1" l="1"/>
  <c r="I16" i="1"/>
  <c r="K16" i="1" s="1"/>
  <c r="K15" i="1"/>
  <c r="I27" i="1" l="1"/>
  <c r="K27" i="1" s="1"/>
  <c r="J16" i="1"/>
  <c r="J27" i="1" l="1"/>
  <c r="D278" i="14"/>
  <c r="D277" i="14" s="1"/>
  <c r="D276" i="14" l="1"/>
  <c r="D275" i="14" l="1"/>
  <c r="D6" i="14" s="1"/>
  <c r="E6" i="14" l="1"/>
</calcChain>
</file>

<file path=xl/sharedStrings.xml><?xml version="1.0" encoding="utf-8"?>
<sst xmlns="http://schemas.openxmlformats.org/spreadsheetml/2006/main" count="1078" uniqueCount="602">
  <si>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</si>
  <si>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</si>
  <si>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</si>
  <si>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</si>
  <si>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</si>
  <si>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</si>
  <si>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</si>
  <si>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</si>
  <si>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</si>
  <si>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</si>
  <si>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</si>
  <si>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</si>
  <si>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</si>
  <si>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</si>
  <si>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</si>
  <si>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</si>
  <si>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</si>
  <si>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</si>
  <si>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</si>
  <si>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</si>
  <si>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</si>
  <si>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</si>
  <si>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</si>
  <si>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</si>
  <si>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</si>
  <si>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</si>
  <si>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</si>
  <si>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</si>
  <si>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</si>
  <si>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</si>
  <si>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</si>
  <si>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</si>
  <si>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</si>
  <si>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</si>
  <si>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</si>
  <si>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</si>
  <si>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</si>
  <si>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</si>
  <si>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</si>
  <si>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</si>
  <si>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</si>
  <si>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</si>
  <si>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</si>
  <si>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</si>
  <si>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</si>
  <si>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</si>
  <si>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</si>
  <si>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</si>
  <si>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</si>
  <si>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</si>
  <si>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</si>
  <si>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</si>
  <si>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</si>
  <si>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</si>
  <si>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</si>
  <si>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</si>
  <si>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</si>
  <si>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</si>
  <si>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</si>
  <si>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</si>
  <si>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</si>
  <si>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</si>
  <si>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</si>
  <si>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</si>
  <si>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</si>
  <si>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</si>
  <si>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</si>
  <si>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</si>
  <si>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</si>
  <si>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</si>
  <si>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</si>
  <si>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</si>
  <si>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</si>
  <si>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</si>
  <si>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</si>
  <si>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</si>
  <si>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</si>
  <si>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</si>
  <si>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</si>
  <si>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</si>
  <si>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</si>
  <si>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</si>
  <si>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</si>
  <si>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</si>
  <si>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</si>
  <si>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</si>
  <si>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</si>
  <si>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</si>
  <si>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</si>
  <si>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</si>
  <si>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</si>
  <si>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</si>
  <si>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</si>
  <si>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</si>
  <si>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</si>
  <si>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</si>
  <si>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</si>
  <si>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</si>
  <si>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</si>
  <si>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</si>
  <si>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</si>
  <si>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</si>
  <si>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</si>
  <si>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</si>
  <si>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</si>
  <si>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</si>
  <si>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</si>
  <si>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</si>
  <si>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</si>
  <si>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</si>
  <si>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</si>
  <si>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</si>
  <si>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</si>
  <si>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</si>
  <si>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</si>
  <si>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</si>
  <si>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</si>
  <si>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</si>
  <si>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</si>
  <si>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</si>
  <si>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</si>
  <si>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</si>
  <si>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</si>
  <si>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</si>
  <si>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</si>
  <si>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</si>
  <si>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</si>
  <si>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</si>
  <si>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</si>
  <si>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</si>
  <si>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</si>
  <si>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</si>
  <si>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</si>
  <si>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</si>
  <si>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</si>
  <si>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</si>
  <si>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</si>
  <si>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</si>
  <si>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</si>
  <si>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</si>
  <si>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</si>
  <si>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</si>
  <si>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</si>
  <si>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</si>
  <si>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</si>
  <si>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</si>
  <si>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</si>
  <si>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</si>
  <si>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</si>
  <si>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</si>
  <si>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</si>
  <si>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</si>
  <si>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</si>
  <si>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</si>
  <si>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</si>
  <si>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</si>
  <si>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</si>
  <si>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</si>
  <si>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</si>
  <si>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</si>
  <si>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</si>
  <si>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</si>
  <si>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</si>
  <si>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</si>
  <si>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</si>
  <si>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</si>
  <si>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</si>
  <si>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</si>
  <si>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</si>
  <si>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</si>
  <si>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</si>
  <si>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</si>
  <si>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</si>
  <si>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</si>
  <si>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</si>
  <si>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</si>
  <si>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</si>
  <si>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</si>
  <si>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</si>
  <si>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</si>
  <si>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</si>
  <si>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</si>
  <si>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</si>
  <si>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</si>
  <si>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</si>
  <si>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</si>
  <si>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</si>
  <si>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</si>
  <si>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</si>
  <si>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</si>
  <si>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</si>
  <si>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</si>
  <si>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</si>
  <si>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</si>
  <si>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</si>
  <si>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</si>
  <si>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</si>
  <si>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</si>
  <si>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</si>
  <si>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</si>
  <si>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</si>
  <si>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</si>
  <si>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</si>
  <si>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</si>
  <si>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</si>
  <si>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</si>
  <si>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</si>
  <si>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</si>
  <si>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</si>
  <si>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</si>
  <si>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</si>
  <si>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</si>
  <si>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</si>
  <si>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</si>
  <si>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</si>
  <si>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</si>
  <si>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</si>
  <si>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</si>
  <si>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</si>
  <si>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</si>
  <si>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</si>
  <si>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</si>
  <si>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</si>
  <si>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</si>
  <si>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</si>
  <si>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</si>
  <si>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</si>
  <si>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</si>
  <si>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</si>
  <si>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</si>
  <si>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</si>
  <si>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</si>
  <si>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</si>
  <si>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</si>
  <si>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</si>
  <si>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</si>
  <si>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</si>
  <si>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</si>
  <si>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</si>
  <si>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</si>
  <si>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</si>
  <si>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</si>
  <si>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</si>
  <si>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</si>
  <si>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</si>
  <si>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</si>
  <si>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</si>
  <si>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</si>
  <si>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</si>
  <si>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</si>
  <si>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</si>
  <si>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</si>
  <si>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</si>
  <si>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</si>
  <si>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</si>
  <si>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</si>
  <si>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</si>
  <si>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</si>
  <si>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</si>
  <si>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</si>
  <si>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</si>
  <si>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</si>
  <si>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</si>
  <si>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</si>
  <si>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</si>
  <si>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</si>
  <si>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</si>
  <si>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</si>
  <si>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</si>
  <si>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</si>
  <si>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</si>
  <si>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</si>
  <si>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</si>
  <si>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</si>
  <si>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</si>
  <si>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</si>
  <si>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</si>
  <si>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</si>
  <si>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</si>
  <si>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</si>
  <si>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</si>
  <si>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</si>
  <si>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</si>
  <si>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</si>
  <si>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</si>
  <si>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</si>
  <si>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</si>
  <si>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</si>
  <si>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</si>
  <si>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</si>
  <si>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</si>
  <si>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</si>
  <si>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</si>
  <si>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</si>
  <si>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</si>
  <si>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</si>
  <si>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</si>
  <si>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</si>
  <si>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</si>
  <si>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</si>
  <si>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</si>
  <si>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</si>
  <si>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</si>
  <si>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</si>
  <si>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</si>
  <si>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</si>
  <si>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</si>
  <si>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</si>
  <si>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</si>
  <si>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</si>
  <si>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</si>
  <si>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</si>
  <si>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</si>
  <si>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</si>
  <si>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</si>
  <si>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</si>
  <si>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</si>
  <si>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</si>
  <si>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</si>
  <si>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</si>
  <si>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</si>
  <si>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</si>
  <si>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</si>
  <si>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</si>
  <si>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</si>
  <si>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</si>
  <si>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</si>
  <si>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</si>
  <si>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</si>
  <si>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</si>
  <si>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</si>
  <si>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</si>
  <si>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</si>
  <si>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</si>
  <si>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</si>
  <si>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</si>
  <si>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</si>
  <si>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</si>
  <si>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</si>
  <si>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</si>
  <si>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</si>
  <si>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</si>
  <si>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</si>
  <si>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</si>
  <si>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</si>
  <si>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</si>
  <si>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</si>
  <si>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</si>
  <si>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</si>
  <si>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</si>
  <si>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</si>
  <si>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</si>
  <si>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</si>
  <si>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</si>
  <si>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</si>
  <si>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</si>
  <si>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</si>
  <si>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</si>
  <si>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</si>
  <si>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</si>
  <si>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</si>
  <si>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</si>
  <si>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</si>
  <si>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</si>
  <si>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</si>
  <si>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</si>
  <si>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</si>
  <si>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</si>
  <si>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</si>
  <si>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</si>
  <si>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</si>
  <si>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</si>
  <si>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</si>
  <si>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</si>
  <si>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</si>
  <si>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</si>
  <si>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</si>
  <si>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</si>
  <si>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</si>
  <si>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</si>
  <si>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</si>
  <si>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</si>
  <si>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</si>
  <si>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</si>
  <si>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</si>
  <si>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</si>
  <si>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</si>
  <si>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</si>
  <si>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</si>
  <si>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</si>
  <si>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</si>
  <si>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</si>
  <si>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</si>
  <si>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</si>
  <si>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</si>
  <si>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</si>
  <si>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</si>
  <si>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</si>
  <si>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</si>
  <si>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</si>
  <si>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</si>
  <si>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</si>
  <si>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</si>
  <si>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</si>
  <si>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</si>
  <si>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</si>
  <si>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</si>
  <si>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</si>
  <si>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</si>
  <si>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</si>
  <si>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</si>
  <si>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</si>
  <si>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</si>
  <si>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</si>
  <si>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</si>
  <si>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</si>
  <si>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</si>
  <si>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</si>
  <si>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</si>
  <si>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</si>
  <si>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</si>
  <si>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</si>
  <si>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</si>
  <si>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</si>
  <si>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</si>
  <si>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</si>
  <si>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</si>
  <si>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</si>
  <si>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</si>
  <si>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</si>
  <si>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</si>
  <si>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</si>
  <si>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</si>
  <si>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</si>
  <si>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</si>
  <si>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</si>
  <si>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</si>
  <si>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</si>
  <si>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</si>
  <si>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</si>
  <si>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</si>
  <si>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</si>
  <si>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</si>
  <si>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</si>
  <si>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</si>
  <si>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</si>
  <si>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</si>
  <si>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</si>
  <si>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</si>
  <si>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</si>
  <si>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</si>
  <si>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</si>
  <si>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</si>
  <si>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</si>
  <si>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</si>
  <si>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</si>
  <si>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</si>
  <si>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</si>
  <si>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</si>
  <si>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</si>
  <si>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</si>
  <si>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</si>
  <si>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</si>
  <si>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</si>
  <si>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</si>
  <si>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</si>
  <si>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</si>
  <si>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</si>
  <si>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</si>
  <si>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</si>
  <si>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</si>
  <si>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</si>
  <si>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</si>
  <si>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</si>
  <si>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</si>
  <si>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</si>
  <si>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</si>
  <si>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</si>
  <si>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</si>
  <si>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</si>
  <si>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</si>
  <si>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</si>
  <si>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</si>
  <si>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</si>
  <si>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</si>
  <si>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</si>
  <si>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</si>
  <si>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</si>
  <si>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</si>
  <si>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</si>
  <si>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</si>
  <si>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</si>
  <si>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</si>
  <si>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</si>
  <si>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</si>
  <si>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</si>
  <si>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</si>
  <si>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</si>
  <si>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</si>
  <si>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</si>
  <si>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</si>
  <si>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</si>
  <si>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</si>
  <si>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</si>
  <si>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</si>
  <si>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</si>
  <si>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</si>
  <si>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</si>
  <si>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</si>
  <si>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</si>
  <si>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</si>
  <si>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</si>
  <si>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</si>
  <si>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</si>
  <si>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</si>
  <si>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</si>
  <si>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</si>
  <si>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</si>
  <si>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</si>
  <si>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</si>
  <si>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</si>
  <si>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</si>
  <si>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</si>
  <si>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</si>
  <si>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</si>
  <si>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</si>
  <si>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</si>
  <si>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</si>
  <si>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</si>
  <si>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</si>
  <si>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</si>
  <si>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A621004</t>
  </si>
  <si>
    <t>A622122</t>
  </si>
  <si>
    <t>A679077</t>
  </si>
  <si>
    <t>A679091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</si>
  <si>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</si>
  <si>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</si>
  <si>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</si>
  <si>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</si>
  <si>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</si>
  <si>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</si>
  <si>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</si>
  <si>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</si>
  <si>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</si>
  <si>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</si>
  <si>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</si>
  <si>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</si>
  <si>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</si>
  <si>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</si>
  <si>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</si>
  <si>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</si>
  <si>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</si>
  <si>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</si>
  <si>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</si>
  <si>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</si>
  <si>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</si>
  <si>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</si>
  <si>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</si>
  <si>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</si>
  <si>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</si>
  <si>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IZVORNI PLAN ILI REBALANS 
2024.</t>
  </si>
  <si>
    <t>TEKUĆI PLAN 
2024.</t>
  </si>
  <si>
    <t>Šifra</t>
  </si>
  <si>
    <t>Naziv</t>
  </si>
  <si>
    <t>Indeks</t>
  </si>
  <si>
    <t>4=3/2*100</t>
  </si>
  <si>
    <t xml:space="preserve">P1234 </t>
  </si>
  <si>
    <t>PROGRAM 1</t>
  </si>
  <si>
    <t>Plaće</t>
  </si>
  <si>
    <t>Negativne tečajne razlike i razlike zbog primjene valutne kaluzule</t>
  </si>
  <si>
    <t>Ostale naknade građanima i kućanstvima</t>
  </si>
  <si>
    <t xml:space="preserve">Naknade građanima i kućanstvima </t>
  </si>
  <si>
    <t xml:space="preserve">Ostali rashodi za zaposlene </t>
  </si>
  <si>
    <t>Doprinosi za obavezno zdravstveno osiguranje</t>
  </si>
  <si>
    <t xml:space="preserve">Ostale naknade troškova zaposlenima </t>
  </si>
  <si>
    <t xml:space="preserve">Ostali rashodi  </t>
  </si>
  <si>
    <t xml:space="preserve">Tekuće donacije  </t>
  </si>
  <si>
    <t>Službena, radna i zaština odjeća i obuća</t>
  </si>
  <si>
    <t>Knjige, umjetnička djela i ostalo</t>
  </si>
  <si>
    <t>Dodatna ulaganja u prijevozna sredstva</t>
  </si>
  <si>
    <r>
      <t xml:space="preserve">AKTIVNOST 1 </t>
    </r>
    <r>
      <rPr>
        <i/>
        <sz val="12"/>
        <color rgb="FF002060"/>
        <rFont val="Calibri"/>
        <family val="2"/>
        <charset val="238"/>
        <scheme val="minor"/>
      </rPr>
      <t>(redovni)</t>
    </r>
  </si>
  <si>
    <r>
      <t xml:space="preserve">AKTIVNOST 4 </t>
    </r>
    <r>
      <rPr>
        <i/>
        <sz val="12"/>
        <color rgb="FF002060"/>
        <rFont val="Calibri"/>
        <family val="2"/>
        <charset val="238"/>
        <scheme val="minor"/>
      </rPr>
      <t>(redovna djelatnost SveuST)</t>
    </r>
  </si>
  <si>
    <r>
      <t xml:space="preserve">AKTIVNOST 5 </t>
    </r>
    <r>
      <rPr>
        <i/>
        <sz val="12"/>
        <color rgb="FF002060"/>
        <rFont val="Calibri"/>
        <family val="2"/>
        <charset val="238"/>
        <scheme val="minor"/>
      </rPr>
      <t>(projekti SveuST)</t>
    </r>
  </si>
  <si>
    <r>
      <t>AKTIVNOST 2</t>
    </r>
    <r>
      <rPr>
        <i/>
        <sz val="12"/>
        <color rgb="FF002060"/>
        <rFont val="Calibri"/>
        <family val="2"/>
        <charset val="238"/>
        <scheme val="minor"/>
      </rPr>
      <t xml:space="preserve"> (programski)</t>
    </r>
  </si>
  <si>
    <t>Izvorni plan i
Plan tekuće godine</t>
  </si>
  <si>
    <t>Naknade ostalih troškova</t>
  </si>
  <si>
    <t>Naknada za korištenje privatnog automobila u službene svrhe</t>
  </si>
  <si>
    <t>Računala i računalna oprema</t>
  </si>
  <si>
    <t>GODIŠNJI IZVJEŠTAJ O IZVRŠENJU FINANCIJSKOG PLANA ZA 2024.g.</t>
  </si>
  <si>
    <t>OSTVARENJE/IZVRŠENJE 
01.2023. - 12.2023.</t>
  </si>
  <si>
    <t>OSTVARENJE/IZVRŠENJE 
01.2024. - 12.2024.</t>
  </si>
  <si>
    <t>Ostvarenje / izvršenje
01.01.24.-31.12.24.</t>
  </si>
  <si>
    <t>Izdaci za financijsku imovinu i otplae zajmova</t>
  </si>
  <si>
    <t>Izdaci za jamčevne pologe</t>
  </si>
  <si>
    <t>Izdaci za dane zajmove i jamčevne pologe</t>
  </si>
  <si>
    <t>Negetivne tečajne razlike i razlike zbog primjene valutne klauzule</t>
  </si>
  <si>
    <r>
      <t xml:space="preserve">AKTIVNOST 2 </t>
    </r>
    <r>
      <rPr>
        <i/>
        <sz val="12"/>
        <color rgb="FF002060"/>
        <rFont val="Calibri"/>
        <family val="2"/>
        <charset val="238"/>
        <scheme val="minor"/>
      </rPr>
      <t>(programski+ znanost)</t>
    </r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</si>
  <si>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</si>
  <si>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</si>
  <si>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</si>
  <si>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 xml:space="preserve">** Ako Opći i Posebni dio polugodišnjeg izvještaja ne sadrži "TEKUĆI PLAN 2024.", "INDEKS"("OSTVARENJE/IZVRŠENJE 1.-12.2024."/"TEKUĆI PLAN 2024.") iskazuje se kao "OSTVARENJE/IZVRŠENJE 1.-12.2024."/"IZVORNI PLAN 2024." ODNOSNO "REBALANS 2024." </t>
  </si>
  <si>
    <t>GODIŠNJI IZVJEŠTAJ O IZVRŠENJU FINANCIJSKOG PLANA POMORSKOG FAKULTET U SPLITU
ZA PRVO POLUGODIŠTE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</si>
</sst>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002060"/>
      </right>
      <top style="hair">
        <color indexed="64"/>
      </top>
      <bottom style="thin">
        <color indexed="64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47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34" fillId="2" borderId="0" xfId="13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3" fontId="35" fillId="0" borderId="0" xfId="0" applyNumberFormat="1" applyFont="1"/>
    <xf numFmtId="3" fontId="36" fillId="0" borderId="0" xfId="0" applyNumberFormat="1" applyFont="1" applyAlignment="1">
      <alignment horizontal="left"/>
    </xf>
    <xf numFmtId="3" fontId="37" fillId="2" borderId="0" xfId="0" applyNumberFormat="1" applyFont="1" applyFill="1" applyAlignment="1">
      <alignment vertical="center"/>
    </xf>
    <xf numFmtId="3" fontId="37" fillId="28" borderId="0" xfId="0" applyNumberFormat="1" applyFont="1" applyFill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3" fontId="37" fillId="0" borderId="0" xfId="0" applyNumberFormat="1" applyFont="1"/>
    <xf numFmtId="0" fontId="34" fillId="28" borderId="9" xfId="0" applyFont="1" applyFill="1" applyBorder="1" applyAlignment="1">
      <alignment horizontal="center" vertical="center" wrapText="1"/>
    </xf>
    <xf numFmtId="3" fontId="34" fillId="28" borderId="9" xfId="0" applyNumberFormat="1" applyFont="1" applyFill="1" applyBorder="1" applyAlignment="1">
      <alignment horizontal="center" vertical="center" wrapText="1"/>
    </xf>
    <xf numFmtId="3" fontId="38" fillId="28" borderId="9" xfId="0" applyNumberFormat="1" applyFont="1" applyFill="1" applyBorder="1" applyAlignment="1">
      <alignment horizontal="center" vertical="center" wrapText="1"/>
    </xf>
    <xf numFmtId="3" fontId="39" fillId="0" borderId="9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3" fontId="39" fillId="0" borderId="0" xfId="0" applyNumberFormat="1" applyFont="1"/>
    <xf numFmtId="3" fontId="37" fillId="28" borderId="9" xfId="0" applyNumberFormat="1" applyFont="1" applyFill="1" applyBorder="1" applyAlignment="1">
      <alignment horizontal="left" vertical="center"/>
    </xf>
    <xf numFmtId="0" fontId="37" fillId="28" borderId="9" xfId="0" applyFont="1" applyFill="1" applyBorder="1" applyAlignment="1">
      <alignment horizontal="left" vertical="center" wrapText="1"/>
    </xf>
    <xf numFmtId="3" fontId="37" fillId="28" borderId="9" xfId="0" applyNumberFormat="1" applyFont="1" applyFill="1" applyBorder="1" applyAlignment="1">
      <alignment horizontal="right" vertical="center" wrapText="1"/>
    </xf>
    <xf numFmtId="3" fontId="37" fillId="29" borderId="9" xfId="0" applyNumberFormat="1" applyFont="1" applyFill="1" applyBorder="1" applyAlignment="1">
      <alignment horizontal="left" vertical="center"/>
    </xf>
    <xf numFmtId="3" fontId="37" fillId="29" borderId="9" xfId="0" applyNumberFormat="1" applyFont="1" applyFill="1" applyBorder="1" applyAlignment="1">
      <alignment horizontal="left" vertical="center" wrapText="1"/>
    </xf>
    <xf numFmtId="3" fontId="37" fillId="29" borderId="9" xfId="0" applyNumberFormat="1" applyFont="1" applyFill="1" applyBorder="1" applyAlignment="1">
      <alignment horizontal="right" vertical="center" wrapText="1"/>
    </xf>
    <xf numFmtId="3" fontId="41" fillId="28" borderId="9" xfId="0" applyNumberFormat="1" applyFont="1" applyFill="1" applyBorder="1" applyAlignment="1">
      <alignment horizontal="left" vertical="center"/>
    </xf>
    <xf numFmtId="3" fontId="41" fillId="2" borderId="9" xfId="0" applyNumberFormat="1" applyFont="1" applyFill="1" applyBorder="1" applyAlignment="1">
      <alignment vertical="center"/>
    </xf>
    <xf numFmtId="3" fontId="42" fillId="0" borderId="0" xfId="0" applyNumberFormat="1" applyFont="1" applyAlignment="1">
      <alignment horizontal="right" vertical="center"/>
    </xf>
    <xf numFmtId="3" fontId="42" fillId="0" borderId="0" xfId="0" applyNumberFormat="1" applyFont="1"/>
    <xf numFmtId="0" fontId="34" fillId="30" borderId="9" xfId="0" applyFont="1" applyFill="1" applyBorder="1" applyAlignment="1">
      <alignment horizontal="right" vertical="center"/>
    </xf>
    <xf numFmtId="0" fontId="34" fillId="30" borderId="9" xfId="0" applyFont="1" applyFill="1" applyBorder="1" applyAlignment="1">
      <alignment horizontal="left" vertical="center" wrapText="1"/>
    </xf>
    <xf numFmtId="3" fontId="34" fillId="3" borderId="9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left" vertical="center" wrapText="1"/>
    </xf>
    <xf numFmtId="3" fontId="37" fillId="0" borderId="11" xfId="0" applyNumberFormat="1" applyFont="1" applyBorder="1"/>
    <xf numFmtId="3" fontId="37" fillId="0" borderId="12" xfId="0" applyNumberFormat="1" applyFont="1" applyBorder="1"/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3" fontId="34" fillId="0" borderId="14" xfId="0" applyNumberFormat="1" applyFont="1" applyBorder="1"/>
    <xf numFmtId="3" fontId="43" fillId="0" borderId="15" xfId="0" applyNumberFormat="1" applyFont="1" applyBorder="1"/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/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right" vertical="center"/>
    </xf>
    <xf numFmtId="3" fontId="44" fillId="0" borderId="15" xfId="0" applyNumberFormat="1" applyFont="1" applyBorder="1"/>
    <xf numFmtId="3" fontId="35" fillId="0" borderId="0" xfId="0" applyNumberFormat="1" applyFont="1" applyAlignment="1">
      <alignment horizontal="right" vertical="center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3" fontId="43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left" vertical="center" wrapText="1"/>
    </xf>
    <xf numFmtId="3" fontId="37" fillId="0" borderId="14" xfId="0" applyNumberFormat="1" applyFont="1" applyBorder="1" applyAlignment="1">
      <alignment horizontal="right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3" fontId="35" fillId="0" borderId="17" xfId="0" applyNumberFormat="1" applyFont="1" applyBorder="1" applyAlignment="1">
      <alignment horizontal="right" vertical="center"/>
    </xf>
    <xf numFmtId="3" fontId="44" fillId="0" borderId="14" xfId="0" applyNumberFormat="1" applyFont="1" applyBorder="1"/>
    <xf numFmtId="3" fontId="37" fillId="0" borderId="15" xfId="0" applyNumberFormat="1" applyFont="1" applyBorder="1" applyAlignment="1">
      <alignment horizontal="right" vertical="center"/>
    </xf>
    <xf numFmtId="3" fontId="43" fillId="0" borderId="15" xfId="0" applyNumberFormat="1" applyFont="1" applyBorder="1" applyAlignment="1">
      <alignment horizontal="right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right" vertical="center"/>
    </xf>
    <xf numFmtId="3" fontId="44" fillId="0" borderId="15" xfId="0" applyNumberFormat="1" applyFont="1" applyBorder="1" applyAlignment="1">
      <alignment horizontal="right" vertical="center"/>
    </xf>
    <xf numFmtId="3" fontId="35" fillId="0" borderId="15" xfId="0" applyNumberFormat="1" applyFont="1" applyBorder="1" applyAlignment="1">
      <alignment horizontal="right" vertical="center"/>
    </xf>
    <xf numFmtId="0" fontId="45" fillId="0" borderId="13" xfId="0" applyFont="1" applyBorder="1" applyAlignment="1">
      <alignment horizontal="center" vertical="center"/>
    </xf>
    <xf numFmtId="0" fontId="45" fillId="28" borderId="14" xfId="0" applyFont="1" applyFill="1" applyBorder="1" applyAlignment="1">
      <alignment horizontal="left" vertical="center" wrapText="1"/>
    </xf>
    <xf numFmtId="3" fontId="45" fillId="0" borderId="14" xfId="0" applyNumberFormat="1" applyFont="1" applyBorder="1" applyAlignment="1">
      <alignment horizontal="right" vertical="center"/>
    </xf>
    <xf numFmtId="0" fontId="43" fillId="28" borderId="14" xfId="0" applyFont="1" applyFill="1" applyBorder="1" applyAlignment="1">
      <alignment horizontal="left" vertical="center" wrapText="1"/>
    </xf>
    <xf numFmtId="0" fontId="45" fillId="28" borderId="13" xfId="0" applyFont="1" applyFill="1" applyBorder="1" applyAlignment="1">
      <alignment horizontal="center" vertical="center"/>
    </xf>
    <xf numFmtId="3" fontId="45" fillId="28" borderId="14" xfId="0" applyNumberFormat="1" applyFont="1" applyFill="1" applyBorder="1" applyAlignment="1">
      <alignment horizontal="right" vertical="center"/>
    </xf>
    <xf numFmtId="3" fontId="37" fillId="28" borderId="15" xfId="0" applyNumberFormat="1" applyFont="1" applyFill="1" applyBorder="1" applyAlignment="1">
      <alignment horizontal="right" vertical="center"/>
    </xf>
    <xf numFmtId="0" fontId="43" fillId="28" borderId="13" xfId="0" applyFont="1" applyFill="1" applyBorder="1" applyAlignment="1">
      <alignment horizontal="center" vertical="center"/>
    </xf>
    <xf numFmtId="3" fontId="43" fillId="28" borderId="14" xfId="0" applyNumberFormat="1" applyFont="1" applyFill="1" applyBorder="1" applyAlignment="1">
      <alignment horizontal="right" vertical="center"/>
    </xf>
    <xf numFmtId="3" fontId="43" fillId="28" borderId="15" xfId="0" applyNumberFormat="1" applyFont="1" applyFill="1" applyBorder="1" applyAlignment="1">
      <alignment horizontal="right" vertical="center"/>
    </xf>
    <xf numFmtId="0" fontId="35" fillId="28" borderId="13" xfId="0" applyFont="1" applyFill="1" applyBorder="1" applyAlignment="1">
      <alignment horizontal="center" vertical="center"/>
    </xf>
    <xf numFmtId="0" fontId="35" fillId="28" borderId="14" xfId="0" applyFont="1" applyFill="1" applyBorder="1" applyAlignment="1">
      <alignment horizontal="left" vertical="center" wrapText="1"/>
    </xf>
    <xf numFmtId="3" fontId="35" fillId="28" borderId="14" xfId="0" applyNumberFormat="1" applyFont="1" applyFill="1" applyBorder="1" applyAlignment="1">
      <alignment horizontal="right" vertical="center"/>
    </xf>
    <xf numFmtId="3" fontId="44" fillId="28" borderId="15" xfId="0" applyNumberFormat="1" applyFont="1" applyFill="1" applyBorder="1" applyAlignment="1">
      <alignment horizontal="right" vertical="center"/>
    </xf>
    <xf numFmtId="3" fontId="34" fillId="30" borderId="9" xfId="0" applyNumberFormat="1" applyFont="1" applyFill="1" applyBorder="1" applyAlignment="1">
      <alignment horizontal="right" vertical="center"/>
    </xf>
    <xf numFmtId="0" fontId="37" fillId="28" borderId="10" xfId="0" applyFont="1" applyFill="1" applyBorder="1" applyAlignment="1">
      <alignment horizontal="center" vertical="center"/>
    </xf>
    <xf numFmtId="0" fontId="37" fillId="28" borderId="11" xfId="0" applyFont="1" applyFill="1" applyBorder="1" applyAlignment="1">
      <alignment horizontal="left" vertical="center" wrapText="1"/>
    </xf>
    <xf numFmtId="3" fontId="37" fillId="28" borderId="11" xfId="0" applyNumberFormat="1" applyFont="1" applyFill="1" applyBorder="1" applyAlignment="1">
      <alignment horizontal="right" vertical="center"/>
    </xf>
    <xf numFmtId="3" fontId="37" fillId="28" borderId="12" xfId="0" applyNumberFormat="1" applyFont="1" applyFill="1" applyBorder="1" applyAlignment="1">
      <alignment horizontal="right" vertical="center"/>
    </xf>
    <xf numFmtId="0" fontId="34" fillId="28" borderId="13" xfId="0" applyFont="1" applyFill="1" applyBorder="1" applyAlignment="1">
      <alignment horizontal="center" vertical="center"/>
    </xf>
    <xf numFmtId="0" fontId="34" fillId="28" borderId="14" xfId="0" applyFont="1" applyFill="1" applyBorder="1" applyAlignment="1">
      <alignment horizontal="left" vertical="center" wrapText="1"/>
    </xf>
    <xf numFmtId="3" fontId="34" fillId="28" borderId="14" xfId="0" applyNumberFormat="1" applyFont="1" applyFill="1" applyBorder="1" applyAlignment="1">
      <alignment horizontal="right" vertical="center"/>
    </xf>
    <xf numFmtId="0" fontId="44" fillId="28" borderId="13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left" vertical="center" wrapText="1"/>
    </xf>
    <xf numFmtId="0" fontId="37" fillId="28" borderId="13" xfId="0" applyFont="1" applyFill="1" applyBorder="1" applyAlignment="1">
      <alignment horizontal="center" vertical="center"/>
    </xf>
    <xf numFmtId="0" fontId="37" fillId="28" borderId="14" xfId="0" applyFont="1" applyFill="1" applyBorder="1" applyAlignment="1">
      <alignment horizontal="left" vertical="center" wrapText="1"/>
    </xf>
    <xf numFmtId="3" fontId="37" fillId="28" borderId="14" xfId="0" applyNumberFormat="1" applyFont="1" applyFill="1" applyBorder="1" applyAlignment="1">
      <alignment horizontal="right" vertical="center"/>
    </xf>
    <xf numFmtId="3" fontId="44" fillId="28" borderId="14" xfId="0" applyNumberFormat="1" applyFont="1" applyFill="1" applyBorder="1" applyAlignment="1">
      <alignment horizontal="right" vertical="center"/>
    </xf>
    <xf numFmtId="0" fontId="35" fillId="28" borderId="16" xfId="0" applyFont="1" applyFill="1" applyBorder="1" applyAlignment="1">
      <alignment horizontal="center" vertical="center"/>
    </xf>
    <xf numFmtId="0" fontId="35" fillId="28" borderId="17" xfId="0" applyFont="1" applyFill="1" applyBorder="1" applyAlignment="1">
      <alignment horizontal="left" vertical="center" wrapText="1"/>
    </xf>
    <xf numFmtId="3" fontId="35" fillId="28" borderId="17" xfId="0" applyNumberFormat="1" applyFont="1" applyFill="1" applyBorder="1" applyAlignment="1">
      <alignment horizontal="right" vertical="center"/>
    </xf>
    <xf numFmtId="3" fontId="44" fillId="28" borderId="18" xfId="0" applyNumberFormat="1" applyFont="1" applyFill="1" applyBorder="1" applyAlignment="1">
      <alignment horizontal="right" vertical="center"/>
    </xf>
    <xf numFmtId="3" fontId="41" fillId="28" borderId="9" xfId="0" applyNumberFormat="1" applyFont="1" applyFill="1" applyBorder="1" applyAlignment="1">
      <alignment horizontal="right" vertical="center"/>
    </xf>
    <xf numFmtId="3" fontId="41" fillId="0" borderId="9" xfId="0" applyNumberFormat="1" applyFont="1" applyBorder="1" applyAlignment="1">
      <alignment horizontal="right" vertical="center"/>
    </xf>
    <xf numFmtId="0" fontId="45" fillId="28" borderId="19" xfId="0" applyFont="1" applyFill="1" applyBorder="1" applyAlignment="1">
      <alignment horizontal="center" vertical="center"/>
    </xf>
    <xf numFmtId="0" fontId="45" fillId="28" borderId="20" xfId="0" applyFont="1" applyFill="1" applyBorder="1" applyAlignment="1">
      <alignment horizontal="left" vertical="center" wrapText="1"/>
    </xf>
    <xf numFmtId="3" fontId="45" fillId="28" borderId="20" xfId="0" applyNumberFormat="1" applyFont="1" applyFill="1" applyBorder="1" applyAlignment="1">
      <alignment horizontal="right" vertical="center"/>
    </xf>
    <xf numFmtId="3" fontId="44" fillId="28" borderId="21" xfId="0" applyNumberFormat="1" applyFont="1" applyFill="1" applyBorder="1" applyAlignment="1">
      <alignment horizontal="right" vertical="center"/>
    </xf>
    <xf numFmtId="3" fontId="41" fillId="0" borderId="10" xfId="0" applyNumberFormat="1" applyFont="1" applyBorder="1" applyAlignment="1">
      <alignment horizontal="left" vertical="center"/>
    </xf>
    <xf numFmtId="3" fontId="41" fillId="0" borderId="11" xfId="0" applyNumberFormat="1" applyFont="1" applyBorder="1" applyAlignment="1">
      <alignment horizontal="left" vertical="center"/>
    </xf>
    <xf numFmtId="3" fontId="41" fillId="0" borderId="11" xfId="0" applyNumberFormat="1" applyFont="1" applyBorder="1" applyAlignment="1">
      <alignment horizontal="right" vertical="center"/>
    </xf>
    <xf numFmtId="3" fontId="41" fillId="0" borderId="12" xfId="0" applyNumberFormat="1" applyFont="1" applyBorder="1" applyAlignment="1">
      <alignment horizontal="right" vertical="center"/>
    </xf>
    <xf numFmtId="3" fontId="35" fillId="0" borderId="0" xfId="0" applyNumberFormat="1" applyFont="1" applyAlignment="1">
      <alignment horizontal="center" vertical="center" wrapText="1"/>
    </xf>
    <xf numFmtId="3" fontId="34" fillId="0" borderId="0" xfId="0" applyNumberFormat="1" applyFont="1" applyAlignment="1">
      <alignment vertical="center"/>
    </xf>
    <xf numFmtId="3" fontId="42" fillId="2" borderId="9" xfId="0" applyNumberFormat="1" applyFont="1" applyFill="1" applyBorder="1" applyAlignment="1">
      <alignment horizontal="right" vertical="center"/>
    </xf>
    <xf numFmtId="3" fontId="37" fillId="2" borderId="12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vertical="center"/>
    </xf>
    <xf numFmtId="3" fontId="37" fillId="2" borderId="15" xfId="0" applyNumberFormat="1" applyFont="1" applyFill="1" applyBorder="1" applyAlignment="1">
      <alignment horizontal="right" vertical="center"/>
    </xf>
    <xf numFmtId="0" fontId="45" fillId="28" borderId="10" xfId="0" applyFont="1" applyFill="1" applyBorder="1" applyAlignment="1">
      <alignment horizontal="center" vertical="center"/>
    </xf>
    <xf numFmtId="0" fontId="45" fillId="28" borderId="11" xfId="0" applyFont="1" applyFill="1" applyBorder="1" applyAlignment="1">
      <alignment horizontal="left" vertical="center" wrapText="1"/>
    </xf>
    <xf numFmtId="3" fontId="45" fillId="28" borderId="11" xfId="0" applyNumberFormat="1" applyFont="1" applyFill="1" applyBorder="1" applyAlignment="1">
      <alignment horizontal="right" vertical="center"/>
    </xf>
    <xf numFmtId="3" fontId="43" fillId="2" borderId="15" xfId="0" applyNumberFormat="1" applyFont="1" applyFill="1" applyBorder="1" applyAlignment="1">
      <alignment horizontal="right" vertical="center"/>
    </xf>
    <xf numFmtId="3" fontId="44" fillId="2" borderId="15" xfId="0" applyNumberFormat="1" applyFont="1" applyFill="1" applyBorder="1" applyAlignment="1">
      <alignment horizontal="right" vertical="center"/>
    </xf>
    <xf numFmtId="3" fontId="44" fillId="2" borderId="18" xfId="0" applyNumberFormat="1" applyFont="1" applyFill="1" applyBorder="1" applyAlignment="1">
      <alignment horizontal="right" vertical="center"/>
    </xf>
    <xf numFmtId="3" fontId="35" fillId="0" borderId="0" xfId="0" applyNumberFormat="1" applyFont="1" applyAlignment="1">
      <alignment vertical="center"/>
    </xf>
    <xf numFmtId="0" fontId="37" fillId="28" borderId="23" xfId="0" applyFont="1" applyFill="1" applyBorder="1" applyAlignment="1">
      <alignment horizontal="center" vertical="center"/>
    </xf>
    <xf numFmtId="0" fontId="37" fillId="28" borderId="24" xfId="0" applyFont="1" applyFill="1" applyBorder="1" applyAlignment="1">
      <alignment horizontal="left" vertical="center" wrapText="1"/>
    </xf>
    <xf numFmtId="3" fontId="37" fillId="28" borderId="24" xfId="0" applyNumberFormat="1" applyFont="1" applyFill="1" applyBorder="1" applyAlignment="1">
      <alignment horizontal="right" vertical="center"/>
    </xf>
    <xf numFmtId="3" fontId="37" fillId="2" borderId="25" xfId="0" applyNumberFormat="1" applyFont="1" applyFill="1" applyBorder="1" applyAlignment="1">
      <alignment horizontal="right" vertical="center"/>
    </xf>
    <xf numFmtId="0" fontId="45" fillId="0" borderId="14" xfId="0" applyFont="1" applyBorder="1" applyAlignment="1">
      <alignment horizontal="left" vertical="center" wrapText="1"/>
    </xf>
    <xf numFmtId="4" fontId="37" fillId="28" borderId="9" xfId="0" applyNumberFormat="1" applyFont="1" applyFill="1" applyBorder="1" applyAlignment="1">
      <alignment horizontal="right" vertical="center" wrapText="1"/>
    </xf>
    <xf numFmtId="4" fontId="37" fillId="29" borderId="9" xfId="0" applyNumberFormat="1" applyFont="1" applyFill="1" applyBorder="1" applyAlignment="1">
      <alignment horizontal="right" vertical="center" wrapText="1"/>
    </xf>
    <xf numFmtId="4" fontId="41" fillId="2" borderId="9" xfId="0" applyNumberFormat="1" applyFont="1" applyFill="1" applyBorder="1" applyAlignment="1">
      <alignment vertical="center"/>
    </xf>
    <xf numFmtId="4" fontId="34" fillId="3" borderId="9" xfId="0" applyNumberFormat="1" applyFont="1" applyFill="1" applyBorder="1" applyAlignment="1">
      <alignment horizontal="right" vertical="center"/>
    </xf>
    <xf numFmtId="4" fontId="37" fillId="0" borderId="11" xfId="0" applyNumberFormat="1" applyFont="1" applyBorder="1"/>
    <xf numFmtId="4" fontId="34" fillId="0" borderId="14" xfId="0" applyNumberFormat="1" applyFont="1" applyBorder="1"/>
    <xf numFmtId="4" fontId="35" fillId="0" borderId="14" xfId="0" applyNumberFormat="1" applyFont="1" applyBorder="1" applyAlignment="1">
      <alignment horizontal="right" vertical="center"/>
    </xf>
    <xf numFmtId="4" fontId="43" fillId="0" borderId="14" xfId="0" applyNumberFormat="1" applyFont="1" applyBorder="1" applyAlignment="1">
      <alignment horizontal="right" vertical="center"/>
    </xf>
    <xf numFmtId="4" fontId="34" fillId="0" borderId="14" xfId="0" applyNumberFormat="1" applyFont="1" applyBorder="1" applyAlignment="1">
      <alignment horizontal="right" vertical="center"/>
    </xf>
    <xf numFmtId="4" fontId="37" fillId="0" borderId="14" xfId="0" applyNumberFormat="1" applyFont="1" applyBorder="1" applyAlignment="1">
      <alignment horizontal="right" vertical="center"/>
    </xf>
    <xf numFmtId="4" fontId="35" fillId="0" borderId="17" xfId="0" applyNumberFormat="1" applyFont="1" applyBorder="1" applyAlignment="1">
      <alignment horizontal="right" vertical="center"/>
    </xf>
    <xf numFmtId="4" fontId="44" fillId="0" borderId="14" xfId="0" applyNumberFormat="1" applyFont="1" applyBorder="1"/>
    <xf numFmtId="4" fontId="44" fillId="0" borderId="14" xfId="0" applyNumberFormat="1" applyFont="1" applyBorder="1" applyAlignment="1">
      <alignment horizontal="right" vertical="center"/>
    </xf>
    <xf numFmtId="4" fontId="45" fillId="0" borderId="14" xfId="0" applyNumberFormat="1" applyFont="1" applyBorder="1" applyAlignment="1">
      <alignment horizontal="right" vertical="center"/>
    </xf>
    <xf numFmtId="4" fontId="34" fillId="30" borderId="9" xfId="0" applyNumberFormat="1" applyFont="1" applyFill="1" applyBorder="1" applyAlignment="1">
      <alignment horizontal="right" vertical="center"/>
    </xf>
    <xf numFmtId="4" fontId="37" fillId="28" borderId="11" xfId="0" applyNumberFormat="1" applyFont="1" applyFill="1" applyBorder="1" applyAlignment="1">
      <alignment horizontal="right" vertical="center"/>
    </xf>
    <xf numFmtId="4" fontId="34" fillId="28" borderId="14" xfId="0" applyNumberFormat="1" applyFont="1" applyFill="1" applyBorder="1" applyAlignment="1">
      <alignment horizontal="right" vertical="center"/>
    </xf>
    <xf numFmtId="4" fontId="35" fillId="28" borderId="14" xfId="0" applyNumberFormat="1" applyFont="1" applyFill="1" applyBorder="1" applyAlignment="1">
      <alignment horizontal="right" vertical="center"/>
    </xf>
    <xf numFmtId="4" fontId="43" fillId="28" borderId="14" xfId="0" applyNumberFormat="1" applyFont="1" applyFill="1" applyBorder="1" applyAlignment="1">
      <alignment horizontal="right" vertical="center"/>
    </xf>
    <xf numFmtId="4" fontId="37" fillId="28" borderId="14" xfId="0" applyNumberFormat="1" applyFont="1" applyFill="1" applyBorder="1" applyAlignment="1">
      <alignment horizontal="right" vertical="center"/>
    </xf>
    <xf numFmtId="4" fontId="44" fillId="28" borderId="14" xfId="0" applyNumberFormat="1" applyFont="1" applyFill="1" applyBorder="1" applyAlignment="1">
      <alignment horizontal="right" vertical="center"/>
    </xf>
    <xf numFmtId="4" fontId="41" fillId="28" borderId="9" xfId="0" applyNumberFormat="1" applyFont="1" applyFill="1" applyBorder="1" applyAlignment="1">
      <alignment horizontal="right" vertical="center"/>
    </xf>
    <xf numFmtId="4" fontId="41" fillId="0" borderId="11" xfId="0" applyNumberFormat="1" applyFont="1" applyBorder="1" applyAlignment="1">
      <alignment horizontal="right" vertical="center"/>
    </xf>
    <xf numFmtId="4" fontId="35" fillId="28" borderId="17" xfId="0" applyNumberFormat="1" applyFont="1" applyFill="1" applyBorder="1" applyAlignment="1">
      <alignment horizontal="right" vertical="center"/>
    </xf>
    <xf numFmtId="4" fontId="45" fillId="28" borderId="11" xfId="0" applyNumberFormat="1" applyFont="1" applyFill="1" applyBorder="1" applyAlignment="1">
      <alignment horizontal="right" vertical="center"/>
    </xf>
    <xf numFmtId="4" fontId="45" fillId="28" borderId="14" xfId="0" applyNumberFormat="1" applyFont="1" applyFill="1" applyBorder="1" applyAlignment="1">
      <alignment horizontal="right" vertical="center"/>
    </xf>
    <xf numFmtId="4" fontId="37" fillId="28" borderId="24" xfId="0" applyNumberFormat="1" applyFont="1" applyFill="1" applyBorder="1" applyAlignment="1">
      <alignment horizontal="right" vertical="center"/>
    </xf>
    <xf numFmtId="3" fontId="41" fillId="0" borderId="20" xfId="0" applyNumberFormat="1" applyFont="1" applyBorder="1" applyAlignment="1">
      <alignment horizontal="left" vertical="center"/>
    </xf>
    <xf numFmtId="0" fontId="37" fillId="28" borderId="19" xfId="0" applyFont="1" applyFill="1" applyBorder="1" applyAlignment="1">
      <alignment horizontal="center" vertical="center"/>
    </xf>
    <xf numFmtId="0" fontId="37" fillId="28" borderId="20" xfId="0" applyFont="1" applyFill="1" applyBorder="1" applyAlignment="1">
      <alignment horizontal="left" vertical="center" wrapText="1"/>
    </xf>
    <xf numFmtId="3" fontId="37" fillId="28" borderId="20" xfId="0" applyNumberFormat="1" applyFont="1" applyFill="1" applyBorder="1" applyAlignment="1">
      <alignment horizontal="right" vertical="center"/>
    </xf>
    <xf numFmtId="4" fontId="37" fillId="28" borderId="20" xfId="0" applyNumberFormat="1" applyFont="1" applyFill="1" applyBorder="1" applyAlignment="1">
      <alignment horizontal="right" vertical="center"/>
    </xf>
    <xf numFmtId="3" fontId="37" fillId="2" borderId="21" xfId="0" applyNumberFormat="1" applyFont="1" applyFill="1" applyBorder="1" applyAlignment="1">
      <alignment horizontal="right" vertical="center"/>
    </xf>
    <xf numFmtId="0" fontId="35" fillId="28" borderId="19" xfId="0" applyFont="1" applyFill="1" applyBorder="1" applyAlignment="1">
      <alignment horizontal="center" vertical="center"/>
    </xf>
    <xf numFmtId="0" fontId="35" fillId="28" borderId="20" xfId="0" applyFont="1" applyFill="1" applyBorder="1" applyAlignment="1">
      <alignment horizontal="left" vertical="center" wrapText="1"/>
    </xf>
    <xf numFmtId="3" fontId="35" fillId="28" borderId="20" xfId="0" applyNumberFormat="1" applyFont="1" applyFill="1" applyBorder="1" applyAlignment="1">
      <alignment horizontal="right" vertical="center"/>
    </xf>
    <xf numFmtId="4" fontId="35" fillId="28" borderId="20" xfId="0" applyNumberFormat="1" applyFont="1" applyFill="1" applyBorder="1" applyAlignment="1">
      <alignment horizontal="right" vertical="center"/>
    </xf>
    <xf numFmtId="3" fontId="44" fillId="2" borderId="21" xfId="0" applyNumberFormat="1" applyFont="1" applyFill="1" applyBorder="1" applyAlignment="1">
      <alignment horizontal="right" vertical="center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4" fillId="2" borderId="0" xfId="13" applyFont="1" applyFill="1" applyAlignment="1">
      <alignment horizontal="center" vertical="center" wrapText="1"/>
    </xf>
    <xf numFmtId="0" fontId="38" fillId="28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left" vertical="center" wrapText="1"/>
    </xf>
    <xf numFmtId="3" fontId="37" fillId="2" borderId="11" xfId="0" applyNumberFormat="1" applyFont="1" applyFill="1" applyBorder="1"/>
    <xf numFmtId="4" fontId="37" fillId="2" borderId="11" xfId="0" applyNumberFormat="1" applyFont="1" applyFill="1" applyBorder="1"/>
    <xf numFmtId="3" fontId="37" fillId="2" borderId="12" xfId="0" applyNumberFormat="1" applyFont="1" applyFill="1" applyBorder="1"/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 wrapText="1"/>
    </xf>
    <xf numFmtId="3" fontId="34" fillId="2" borderId="14" xfId="0" applyNumberFormat="1" applyFont="1" applyFill="1" applyBorder="1"/>
    <xf numFmtId="4" fontId="34" fillId="2" borderId="14" xfId="0" applyNumberFormat="1" applyFont="1" applyFill="1" applyBorder="1"/>
    <xf numFmtId="3" fontId="43" fillId="2" borderId="15" xfId="0" applyNumberFormat="1" applyFont="1" applyFill="1" applyBorder="1"/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left" vertical="center" wrapText="1"/>
    </xf>
    <xf numFmtId="3" fontId="35" fillId="2" borderId="14" xfId="0" applyNumberFormat="1" applyFont="1" applyFill="1" applyBorder="1" applyAlignment="1">
      <alignment horizontal="right" vertical="center"/>
    </xf>
    <xf numFmtId="4" fontId="35" fillId="2" borderId="14" xfId="0" applyNumberFormat="1" applyFont="1" applyFill="1" applyBorder="1" applyAlignment="1">
      <alignment horizontal="right" vertical="center"/>
    </xf>
    <xf numFmtId="3" fontId="44" fillId="2" borderId="15" xfId="0" applyNumberFormat="1" applyFont="1" applyFill="1" applyBorder="1"/>
    <xf numFmtId="0" fontId="43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left" vertical="center" wrapText="1"/>
    </xf>
    <xf numFmtId="3" fontId="43" fillId="2" borderId="14" xfId="0" applyNumberFormat="1" applyFont="1" applyFill="1" applyBorder="1" applyAlignment="1">
      <alignment horizontal="right" vertical="center"/>
    </xf>
    <xf numFmtId="4" fontId="43" fillId="2" borderId="14" xfId="0" applyNumberFormat="1" applyFont="1" applyFill="1" applyBorder="1" applyAlignment="1">
      <alignment horizontal="right" vertical="center"/>
    </xf>
    <xf numFmtId="3" fontId="34" fillId="2" borderId="14" xfId="0" applyNumberFormat="1" applyFont="1" applyFill="1" applyBorder="1" applyAlignment="1">
      <alignment horizontal="right" vertical="center"/>
    </xf>
    <xf numFmtId="4" fontId="34" fillId="2" borderId="14" xfId="0" applyNumberFormat="1" applyFont="1" applyFill="1" applyBorder="1" applyAlignment="1">
      <alignment horizontal="right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left" vertical="center" wrapText="1"/>
    </xf>
    <xf numFmtId="3" fontId="37" fillId="2" borderId="14" xfId="0" applyNumberFormat="1" applyFont="1" applyFill="1" applyBorder="1" applyAlignment="1">
      <alignment horizontal="right" vertical="center"/>
    </xf>
    <xf numFmtId="4" fontId="37" fillId="2" borderId="14" xfId="0" applyNumberFormat="1" applyFont="1" applyFill="1" applyBorder="1" applyAlignment="1">
      <alignment horizontal="right" vertical="center"/>
    </xf>
    <xf numFmtId="3" fontId="37" fillId="2" borderId="15" xfId="0" applyNumberFormat="1" applyFont="1" applyFill="1" applyBorder="1"/>
    <xf numFmtId="0" fontId="35" fillId="2" borderId="16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left" vertical="center" wrapText="1"/>
    </xf>
    <xf numFmtId="3" fontId="35" fillId="2" borderId="17" xfId="0" applyNumberFormat="1" applyFont="1" applyFill="1" applyBorder="1" applyAlignment="1">
      <alignment horizontal="right" vertical="center"/>
    </xf>
    <xf numFmtId="4" fontId="35" fillId="2" borderId="17" xfId="0" applyNumberFormat="1" applyFont="1" applyFill="1" applyBorder="1" applyAlignment="1">
      <alignment horizontal="right" vertical="center"/>
    </xf>
    <xf numFmtId="3" fontId="44" fillId="2" borderId="18" xfId="0" applyNumberFormat="1" applyFont="1" applyFill="1" applyBorder="1"/>
    <xf numFmtId="3" fontId="41" fillId="2" borderId="9" xfId="0" applyNumberFormat="1" applyFont="1" applyFill="1" applyBorder="1" applyAlignment="1">
      <alignment horizontal="left" vertical="center"/>
    </xf>
    <xf numFmtId="3" fontId="41" fillId="2" borderId="9" xfId="0" applyNumberFormat="1" applyFont="1" applyFill="1" applyBorder="1" applyAlignment="1">
      <alignment horizontal="right" vertical="center"/>
    </xf>
    <xf numFmtId="4" fontId="41" fillId="2" borderId="9" xfId="0" applyNumberFormat="1" applyFont="1" applyFill="1" applyBorder="1" applyAlignment="1">
      <alignment horizontal="right" vertical="center"/>
    </xf>
    <xf numFmtId="3" fontId="41" fillId="2" borderId="13" xfId="0" applyNumberFormat="1" applyFont="1" applyFill="1" applyBorder="1" applyAlignment="1">
      <alignment horizontal="left" vertical="center"/>
    </xf>
    <xf numFmtId="3" fontId="41" fillId="2" borderId="20" xfId="0" applyNumberFormat="1" applyFont="1" applyFill="1" applyBorder="1" applyAlignment="1">
      <alignment horizontal="left" vertical="center"/>
    </xf>
    <xf numFmtId="3" fontId="41" fillId="2" borderId="14" xfId="0" applyNumberFormat="1" applyFont="1" applyFill="1" applyBorder="1" applyAlignment="1">
      <alignment horizontal="right" vertical="center"/>
    </xf>
    <xf numFmtId="4" fontId="41" fillId="2" borderId="14" xfId="0" applyNumberFormat="1" applyFont="1" applyFill="1" applyBorder="1" applyAlignment="1">
      <alignment horizontal="right" vertical="center"/>
    </xf>
    <xf numFmtId="3" fontId="41" fillId="2" borderId="15" xfId="0" applyNumberFormat="1" applyFont="1" applyFill="1" applyBorder="1" applyAlignment="1">
      <alignment horizontal="right" vertical="center"/>
    </xf>
    <xf numFmtId="0" fontId="43" fillId="2" borderId="19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left" vertical="center" wrapText="1"/>
    </xf>
    <xf numFmtId="3" fontId="43" fillId="2" borderId="20" xfId="0" applyNumberFormat="1" applyFont="1" applyFill="1" applyBorder="1" applyAlignment="1">
      <alignment horizontal="right" vertical="center"/>
    </xf>
    <xf numFmtId="4" fontId="43" fillId="2" borderId="20" xfId="0" applyNumberFormat="1" applyFont="1" applyFill="1" applyBorder="1" applyAlignment="1">
      <alignment horizontal="right" vertical="center"/>
    </xf>
    <xf numFmtId="3" fontId="43" fillId="2" borderId="21" xfId="0" applyNumberFormat="1" applyFont="1" applyFill="1" applyBorder="1" applyAlignment="1">
      <alignment horizontal="right" vertical="center"/>
    </xf>
    <xf numFmtId="3" fontId="35" fillId="2" borderId="18" xfId="0" applyNumberFormat="1" applyFont="1" applyFill="1" applyBorder="1" applyAlignment="1">
      <alignment horizontal="right" vertical="center"/>
    </xf>
    <xf numFmtId="3" fontId="34" fillId="2" borderId="15" xfId="0" applyNumberFormat="1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right" vertical="center"/>
    </xf>
    <xf numFmtId="49" fontId="46" fillId="28" borderId="22" xfId="0" applyNumberFormat="1" applyFont="1" applyFill="1" applyBorder="1" applyAlignment="1">
      <alignment horizontal="left" vertical="center"/>
    </xf>
    <xf numFmtId="3" fontId="48" fillId="28" borderId="22" xfId="0" applyNumberFormat="1" applyFont="1" applyFill="1" applyBorder="1" applyAlignment="1">
      <alignment vertical="center"/>
    </xf>
    <xf numFmtId="49" fontId="47" fillId="28" borderId="22" xfId="0" applyNumberFormat="1" applyFont="1" applyFill="1" applyBorder="1" applyAlignment="1">
      <alignment horizontal="left" vertical="center"/>
    </xf>
    <xf numFmtId="3" fontId="47" fillId="28" borderId="22" xfId="0" applyNumberFormat="1" applyFont="1" applyFill="1" applyBorder="1" applyAlignment="1">
      <alignment vertical="center"/>
    </xf>
    <xf numFmtId="3" fontId="49" fillId="28" borderId="22" xfId="0" applyNumberFormat="1" applyFont="1" applyFill="1" applyBorder="1" applyAlignment="1">
      <alignment vertical="center"/>
    </xf>
    <xf numFmtId="49" fontId="47" fillId="28" borderId="22" xfId="0" applyNumberFormat="1" applyFont="1" applyFill="1" applyBorder="1" applyAlignment="1">
      <alignment horizontal="left" vertical="center" wrapText="1"/>
    </xf>
    <xf numFmtId="3" fontId="37" fillId="2" borderId="11" xfId="0" applyNumberFormat="1" applyFont="1" applyFill="1" applyBorder="1" applyAlignment="1">
      <alignment horizontal="right" vertical="center"/>
    </xf>
    <xf numFmtId="4" fontId="37" fillId="2" borderId="11" xfId="0" applyNumberFormat="1" applyFont="1" applyFill="1" applyBorder="1" applyAlignment="1">
      <alignment horizontal="right" vertical="center"/>
    </xf>
    <xf numFmtId="3" fontId="35" fillId="2" borderId="15" xfId="0" applyNumberFormat="1" applyFont="1" applyFill="1" applyBorder="1" applyAlignment="1">
      <alignment horizontal="right" vertical="center"/>
    </xf>
    <xf numFmtId="4" fontId="44" fillId="2" borderId="14" xfId="0" applyNumberFormat="1" applyFont="1" applyFill="1" applyBorder="1" applyAlignment="1">
      <alignment horizontal="right" vertical="center"/>
    </xf>
    <xf numFmtId="4" fontId="45" fillId="2" borderId="14" xfId="0" applyNumberFormat="1" applyFont="1" applyFill="1" applyBorder="1" applyAlignment="1">
      <alignment horizontal="right" vertical="center"/>
    </xf>
    <xf numFmtId="3" fontId="41" fillId="0" borderId="19" xfId="0" applyNumberFormat="1" applyFont="1" applyBorder="1" applyAlignment="1">
      <alignment horizontal="left" vertical="center"/>
    </xf>
    <xf numFmtId="3" fontId="41" fillId="0" borderId="20" xfId="0" applyNumberFormat="1" applyFont="1" applyBorder="1" applyAlignment="1">
      <alignment horizontal="right" vertical="center"/>
    </xf>
    <xf numFmtId="4" fontId="41" fillId="0" borderId="20" xfId="0" applyNumberFormat="1" applyFont="1" applyBorder="1" applyAlignment="1">
      <alignment horizontal="right" vertical="center"/>
    </xf>
    <xf numFmtId="3" fontId="41" fillId="0" borderId="21" xfId="0" applyNumberFormat="1" applyFont="1" applyBorder="1" applyAlignment="1">
      <alignment horizontal="right" vertical="center"/>
    </xf>
    <xf numFmtId="0" fontId="35" fillId="2" borderId="26" xfId="0" applyFont="1" applyFill="1" applyBorder="1" applyAlignment="1">
      <alignment horizontal="center" vertical="center"/>
    </xf>
    <xf numFmtId="49" fontId="47" fillId="28" borderId="27" xfId="0" applyNumberFormat="1" applyFont="1" applyFill="1" applyBorder="1" applyAlignment="1">
      <alignment horizontal="left" vertical="center" wrapText="1"/>
    </xf>
    <xf numFmtId="3" fontId="48" fillId="28" borderId="27" xfId="0" applyNumberFormat="1" applyFont="1" applyFill="1" applyBorder="1" applyAlignment="1">
      <alignment vertical="center"/>
    </xf>
    <xf numFmtId="4" fontId="35" fillId="2" borderId="28" xfId="0" applyNumberFormat="1" applyFont="1" applyFill="1" applyBorder="1" applyAlignment="1">
      <alignment horizontal="right" vertical="center"/>
    </xf>
    <xf numFmtId="3" fontId="44" fillId="2" borderId="29" xfId="0" applyNumberFormat="1" applyFont="1" applyFill="1" applyBorder="1" applyAlignment="1">
      <alignment horizontal="right" vertical="center"/>
    </xf>
    <xf numFmtId="49" fontId="35" fillId="28" borderId="22" xfId="0" applyNumberFormat="1" applyFont="1" applyFill="1" applyBorder="1" applyAlignment="1">
      <alignment horizontal="left" vertical="center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A5" sqref="A5:K5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378" t="s">
        <v>601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378" t="s">
        <v>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378" t="s">
        <v>1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379" t="s">
        <v>2</v>
      </c>
      <c r="B7" s="379"/>
      <c r="C7" s="379"/>
      <c r="D7" s="379"/>
      <c r="E7" s="379"/>
      <c r="F7" s="8"/>
      <c r="G7" s="9"/>
      <c r="H7" s="9"/>
      <c r="I7" s="10"/>
      <c r="J7" s="11"/>
      <c r="K7" s="11"/>
    </row>
    <row r="8" spans="1:11" ht="38.25" x14ac:dyDescent="0.25">
      <c r="A8" s="380" t="s">
        <v>3</v>
      </c>
      <c r="B8" s="380"/>
      <c r="C8" s="380"/>
      <c r="D8" s="380"/>
      <c r="E8" s="380"/>
      <c r="F8" s="12" t="s">
        <v>597</v>
      </c>
      <c r="G8" s="13" t="s">
        <v>556</v>
      </c>
      <c r="H8" s="13" t="s">
        <v>557</v>
      </c>
      <c r="I8" s="12" t="s">
        <v>598</v>
      </c>
      <c r="J8" s="12" t="s">
        <v>4</v>
      </c>
      <c r="K8" s="12" t="s">
        <v>5</v>
      </c>
    </row>
    <row r="9" spans="1:11" x14ac:dyDescent="0.25">
      <c r="A9" s="376">
        <v>1</v>
      </c>
      <c r="B9" s="376"/>
      <c r="C9" s="376"/>
      <c r="D9" s="376"/>
      <c r="E9" s="377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384" t="s">
        <v>8</v>
      </c>
      <c r="B10" s="385"/>
      <c r="C10" s="385"/>
      <c r="D10" s="385"/>
      <c r="E10" s="386"/>
      <c r="F10" s="16">
        <f>+'A.1 PRIHODI EK'!C11</f>
        <v>5223561.62</v>
      </c>
      <c r="G10" s="17">
        <f>+'A.1 PRIHODI EK'!D10</f>
        <v>5244244</v>
      </c>
      <c r="H10" s="17">
        <f>+'A.1 PRIHODI EK'!E10</f>
        <v>5244244</v>
      </c>
      <c r="I10" s="16">
        <f>+'A.1 PRIHODI EK'!F11</f>
        <v>5794212.1100000003</v>
      </c>
      <c r="J10" s="18">
        <f t="shared" ref="J10:J16" si="0">+I10/F10*100</f>
        <v>110.92454787582271</v>
      </c>
      <c r="K10" s="18">
        <f t="shared" ref="K10:K16" si="1">+I10/H10*100</f>
        <v>110.48708088334563</v>
      </c>
    </row>
    <row r="11" spans="1:11" x14ac:dyDescent="0.25">
      <c r="A11" s="387" t="s">
        <v>9</v>
      </c>
      <c r="B11" s="386"/>
      <c r="C11" s="386"/>
      <c r="D11" s="386"/>
      <c r="E11" s="386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388" t="s">
        <v>10</v>
      </c>
      <c r="B12" s="389"/>
      <c r="C12" s="389"/>
      <c r="D12" s="389"/>
      <c r="E12" s="390"/>
      <c r="F12" s="19">
        <f>F10+F11</f>
        <v>5223561.62</v>
      </c>
      <c r="G12" s="20">
        <f>G10+G11</f>
        <v>5244244</v>
      </c>
      <c r="H12" s="20">
        <f>H10+H11</f>
        <v>5244244</v>
      </c>
      <c r="I12" s="19">
        <f>I10+I11</f>
        <v>5794212.1100000003</v>
      </c>
      <c r="J12" s="19">
        <f t="shared" si="0"/>
        <v>110.92454787582271</v>
      </c>
      <c r="K12" s="19">
        <f t="shared" si="1"/>
        <v>110.48708088334563</v>
      </c>
    </row>
    <row r="13" spans="1:11" x14ac:dyDescent="0.25">
      <c r="A13" s="391" t="s">
        <v>11</v>
      </c>
      <c r="B13" s="385"/>
      <c r="C13" s="385"/>
      <c r="D13" s="385"/>
      <c r="E13" s="385"/>
      <c r="F13" s="16">
        <f>+'A.1 RASHODI EK'!C10</f>
        <v>4954313.2799999984</v>
      </c>
      <c r="G13" s="17">
        <f>+'A.1 RASHODI EK'!D10</f>
        <v>5335430</v>
      </c>
      <c r="H13" s="17">
        <f>+'A.1 RASHODI EK'!E10</f>
        <v>5335430</v>
      </c>
      <c r="I13" s="16">
        <f>+'A.1 RASHODI EK'!F10</f>
        <v>5940744.9299999988</v>
      </c>
      <c r="J13" s="18">
        <f t="shared" si="0"/>
        <v>119.91056266026037</v>
      </c>
      <c r="K13" s="18">
        <f t="shared" si="1"/>
        <v>111.34519485777152</v>
      </c>
    </row>
    <row r="14" spans="1:11" x14ac:dyDescent="0.25">
      <c r="A14" s="387" t="s">
        <v>12</v>
      </c>
      <c r="B14" s="386"/>
      <c r="C14" s="386"/>
      <c r="D14" s="386"/>
      <c r="E14" s="386"/>
      <c r="F14" s="16">
        <f>+'A.1 RASHODI EK'!C113</f>
        <v>65453.210000000006</v>
      </c>
      <c r="G14" s="17">
        <f>+'A.1 RASHODI EK'!D113</f>
        <v>140845</v>
      </c>
      <c r="H14" s="17">
        <f>+'A.1 RASHODI EK'!E113</f>
        <v>140845</v>
      </c>
      <c r="I14" s="16">
        <f>+'A.1 RASHODI EK'!F113</f>
        <v>102031.42000000001</v>
      </c>
      <c r="J14" s="18">
        <f t="shared" si="0"/>
        <v>155.88451658826204</v>
      </c>
      <c r="K14" s="18">
        <f t="shared" si="1"/>
        <v>72.442344421172223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5019766.4899999984</v>
      </c>
      <c r="G15" s="20">
        <f>G13+G14</f>
        <v>5476275</v>
      </c>
      <c r="H15" s="20">
        <f>H13+H14</f>
        <v>5476275</v>
      </c>
      <c r="I15" s="19">
        <f>I13+I14</f>
        <v>6042776.3499999987</v>
      </c>
      <c r="J15" s="19">
        <f t="shared" si="0"/>
        <v>120.37963044771034</v>
      </c>
      <c r="K15" s="19">
        <f t="shared" si="1"/>
        <v>110.34464759348278</v>
      </c>
    </row>
    <row r="16" spans="1:11" x14ac:dyDescent="0.25">
      <c r="A16" s="392" t="s">
        <v>14</v>
      </c>
      <c r="B16" s="389"/>
      <c r="C16" s="389"/>
      <c r="D16" s="389"/>
      <c r="E16" s="389"/>
      <c r="F16" s="23">
        <f>F12-F15</f>
        <v>203795.13000000175</v>
      </c>
      <c r="G16" s="24">
        <f>G12-G15</f>
        <v>-232031</v>
      </c>
      <c r="H16" s="24">
        <f>H12-H15</f>
        <v>-232031</v>
      </c>
      <c r="I16" s="23">
        <f>I12-I15</f>
        <v>-248564.23999999836</v>
      </c>
      <c r="J16" s="19">
        <f t="shared" si="0"/>
        <v>-121.96770354620163</v>
      </c>
      <c r="K16" s="19">
        <f t="shared" si="1"/>
        <v>107.12544444492261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379" t="s">
        <v>15</v>
      </c>
      <c r="B18" s="379"/>
      <c r="C18" s="379"/>
      <c r="D18" s="379"/>
      <c r="E18" s="379"/>
      <c r="F18" s="26"/>
      <c r="G18" s="27"/>
      <c r="H18" s="27"/>
      <c r="I18" s="26"/>
      <c r="J18" s="28"/>
      <c r="K18" s="28"/>
    </row>
    <row r="19" spans="1:11" ht="38.25" x14ac:dyDescent="0.25">
      <c r="A19" s="380" t="s">
        <v>3</v>
      </c>
      <c r="B19" s="380"/>
      <c r="C19" s="380"/>
      <c r="D19" s="380"/>
      <c r="E19" s="380"/>
      <c r="F19" s="12" t="s">
        <v>555</v>
      </c>
      <c r="G19" s="13" t="s">
        <v>556</v>
      </c>
      <c r="H19" s="13" t="s">
        <v>557</v>
      </c>
      <c r="I19" s="12" t="s">
        <v>558</v>
      </c>
      <c r="J19" s="29" t="s">
        <v>4</v>
      </c>
      <c r="K19" s="29" t="s">
        <v>5</v>
      </c>
    </row>
    <row r="20" spans="1:11" x14ac:dyDescent="0.25">
      <c r="A20" s="393">
        <v>1</v>
      </c>
      <c r="B20" s="394"/>
      <c r="C20" s="394"/>
      <c r="D20" s="394"/>
      <c r="E20" s="394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384" t="s">
        <v>16</v>
      </c>
      <c r="B21" s="395"/>
      <c r="C21" s="395"/>
      <c r="D21" s="395"/>
      <c r="E21" s="395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384" t="s">
        <v>17</v>
      </c>
      <c r="B22" s="396"/>
      <c r="C22" s="396"/>
      <c r="D22" s="396"/>
      <c r="E22" s="396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300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381" t="s">
        <v>18</v>
      </c>
      <c r="B23" s="382"/>
      <c r="C23" s="382"/>
      <c r="D23" s="382"/>
      <c r="E23" s="383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-300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384" t="s">
        <v>19</v>
      </c>
      <c r="B24" s="396"/>
      <c r="C24" s="396"/>
      <c r="D24" s="396"/>
      <c r="E24" s="396"/>
      <c r="F24" s="214">
        <v>0</v>
      </c>
      <c r="G24" s="215">
        <v>524053</v>
      </c>
      <c r="H24" s="215">
        <v>524053</v>
      </c>
      <c r="I24" s="16">
        <f>+F25</f>
        <v>543858.85</v>
      </c>
      <c r="J24" s="18" t="e">
        <f t="shared" si="2"/>
        <v>#DIV/0!</v>
      </c>
      <c r="K24" s="18">
        <f t="shared" si="3"/>
        <v>103.77936010289035</v>
      </c>
    </row>
    <row r="25" spans="1:11" x14ac:dyDescent="0.25">
      <c r="A25" s="384" t="s">
        <v>20</v>
      </c>
      <c r="B25" s="396"/>
      <c r="C25" s="396"/>
      <c r="D25" s="396"/>
      <c r="E25" s="396"/>
      <c r="F25" s="214">
        <v>543858.85</v>
      </c>
      <c r="G25" s="215">
        <v>-292022</v>
      </c>
      <c r="H25" s="215">
        <v>-292022</v>
      </c>
      <c r="I25" s="215">
        <v>85636.59</v>
      </c>
      <c r="J25" s="18">
        <f t="shared" si="2"/>
        <v>15.746105814036124</v>
      </c>
      <c r="K25" s="18">
        <f t="shared" si="3"/>
        <v>-29.325389867886663</v>
      </c>
    </row>
    <row r="26" spans="1:11" x14ac:dyDescent="0.25">
      <c r="A26" s="381" t="s">
        <v>21</v>
      </c>
      <c r="B26" s="382"/>
      <c r="C26" s="382"/>
      <c r="D26" s="382"/>
      <c r="E26" s="383"/>
      <c r="F26" s="19">
        <f>+F23+F24+F25</f>
        <v>543858.85</v>
      </c>
      <c r="G26" s="24">
        <f>+G23+G24+G25</f>
        <v>232031</v>
      </c>
      <c r="H26" s="24">
        <f>+H23+H24+H25</f>
        <v>232031</v>
      </c>
      <c r="I26" s="19">
        <f>+I23+I24+I25</f>
        <v>629195.43999999994</v>
      </c>
      <c r="J26" s="19">
        <f t="shared" si="2"/>
        <v>115.6909444426619</v>
      </c>
      <c r="K26" s="19">
        <f t="shared" si="3"/>
        <v>271.16869728613847</v>
      </c>
    </row>
    <row r="27" spans="1:11" x14ac:dyDescent="0.25">
      <c r="A27" s="399" t="s">
        <v>22</v>
      </c>
      <c r="B27" s="399"/>
      <c r="C27" s="399"/>
      <c r="D27" s="399"/>
      <c r="E27" s="399"/>
      <c r="F27" s="23">
        <f>+F16+F26</f>
        <v>747653.98000000173</v>
      </c>
      <c r="G27" s="24">
        <f>+G16+G26</f>
        <v>0</v>
      </c>
      <c r="H27" s="24">
        <f>+H16+H26</f>
        <v>0</v>
      </c>
      <c r="I27" s="23">
        <f>+I16+I26</f>
        <v>380631.20000000158</v>
      </c>
      <c r="J27" s="19">
        <f t="shared" si="2"/>
        <v>50.910074738049374</v>
      </c>
      <c r="K27" s="19" t="e">
        <f t="shared" si="3"/>
        <v>#DIV/0!</v>
      </c>
    </row>
    <row r="29" spans="1:11" ht="23.25" customHeight="1" x14ac:dyDescent="0.25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</row>
    <row r="30" spans="1:11" ht="20.25" customHeight="1" x14ac:dyDescent="0.25">
      <c r="A30" s="397" t="s">
        <v>599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7"/>
    </row>
    <row r="31" spans="1:11" ht="38.25" customHeight="1" x14ac:dyDescent="0.25">
      <c r="A31" s="397" t="s">
        <v>559</v>
      </c>
      <c r="B31" s="397"/>
      <c r="C31" s="397"/>
      <c r="D31" s="397"/>
      <c r="E31" s="397"/>
      <c r="F31" s="397"/>
      <c r="G31" s="397"/>
      <c r="H31" s="397"/>
      <c r="I31" s="397"/>
      <c r="J31" s="397"/>
      <c r="K31" s="397"/>
    </row>
    <row r="32" spans="1:11" x14ac:dyDescent="0.25">
      <c r="A32" s="397"/>
      <c r="B32" s="397"/>
      <c r="C32" s="397"/>
      <c r="D32" s="397"/>
      <c r="E32" s="397"/>
      <c r="F32" s="397"/>
      <c r="G32" s="397"/>
      <c r="H32" s="397"/>
      <c r="I32" s="397"/>
      <c r="J32" s="397"/>
      <c r="K32" s="397"/>
    </row>
    <row r="33" spans="1:11" ht="31.5" customHeight="1" x14ac:dyDescent="0.25">
      <c r="A33" s="398" t="s">
        <v>600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11" sqref="F11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402" t="s">
        <v>0</v>
      </c>
      <c r="B1" s="402"/>
      <c r="C1" s="402"/>
      <c r="D1" s="402"/>
      <c r="E1" s="402"/>
      <c r="F1" s="402"/>
      <c r="G1" s="402"/>
      <c r="H1" s="402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6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402" t="s">
        <v>23</v>
      </c>
      <c r="B3" s="402"/>
      <c r="C3" s="402"/>
      <c r="D3" s="402"/>
      <c r="E3" s="402"/>
      <c r="F3" s="402"/>
      <c r="G3" s="402"/>
      <c r="H3" s="402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6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402" t="s">
        <v>24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6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401" t="s">
        <v>3</v>
      </c>
      <c r="B7" s="401"/>
      <c r="C7" s="54" t="s">
        <v>589</v>
      </c>
      <c r="D7" s="54" t="s">
        <v>560</v>
      </c>
      <c r="E7" s="54" t="s">
        <v>561</v>
      </c>
      <c r="F7" s="54" t="s">
        <v>590</v>
      </c>
      <c r="G7" s="54" t="s">
        <v>260</v>
      </c>
      <c r="H7" s="161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400">
        <v>1</v>
      </c>
      <c r="B8" s="400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2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8" t="s">
        <v>27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6"/>
      <c r="J9" s="146"/>
      <c r="K9" s="146"/>
      <c r="L9" s="146"/>
      <c r="M9" s="164"/>
      <c r="N9" s="164"/>
      <c r="O9" s="164"/>
    </row>
    <row r="10" spans="1:15" s="34" customFormat="1" x14ac:dyDescent="0.2">
      <c r="A10" s="198"/>
      <c r="B10" s="200" t="s">
        <v>25</v>
      </c>
      <c r="C10" s="191">
        <f>+C11+C70</f>
        <v>5223561.62</v>
      </c>
      <c r="D10" s="201">
        <f>+D11+D70</f>
        <v>5244244</v>
      </c>
      <c r="E10" s="201">
        <f>+E11+E70</f>
        <v>5244244</v>
      </c>
      <c r="F10" s="191">
        <f>+F11+F70</f>
        <v>5794212.1100000003</v>
      </c>
      <c r="G10" s="191">
        <f>+F10/C10*100</f>
        <v>110.92454787582271</v>
      </c>
      <c r="H10" s="191">
        <f>+F10/E10*100</f>
        <v>110.48708088334563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2" t="s">
        <v>30</v>
      </c>
      <c r="B11" s="193" t="s">
        <v>31</v>
      </c>
      <c r="C11" s="194">
        <f>+C12+C34+C45+C51+C58+C65</f>
        <v>5223561.62</v>
      </c>
      <c r="D11" s="195">
        <f>+D12+D34+D45+D51+D58+D65</f>
        <v>5244244</v>
      </c>
      <c r="E11" s="195">
        <f>+E12+E34+E45+E51+E58+E65</f>
        <v>5244244</v>
      </c>
      <c r="F11" s="194">
        <f>+F12+F34+F45+F51+F58+F65</f>
        <v>5794212.1100000003</v>
      </c>
      <c r="G11" s="196">
        <f>+F11/C11*100</f>
        <v>110.92454787582271</v>
      </c>
      <c r="H11" s="196">
        <f>+F11/E11*100</f>
        <v>110.48708088334563</v>
      </c>
      <c r="I11" s="165"/>
      <c r="J11" s="165"/>
      <c r="K11" s="165"/>
      <c r="L11" s="165"/>
      <c r="M11" s="165"/>
      <c r="N11" s="165"/>
      <c r="O11" s="165"/>
    </row>
    <row r="12" spans="1:15" x14ac:dyDescent="0.2">
      <c r="A12" s="180" t="s">
        <v>33</v>
      </c>
      <c r="B12" s="181" t="s">
        <v>34</v>
      </c>
      <c r="C12" s="177">
        <f>+C13+C15+C20+C23+C26+C29</f>
        <v>367358.17000000004</v>
      </c>
      <c r="D12" s="160">
        <v>35416</v>
      </c>
      <c r="E12" s="160">
        <v>35416</v>
      </c>
      <c r="F12" s="177">
        <f>+F13+F15+F20+F23+F26+F29</f>
        <v>172719.52000000002</v>
      </c>
      <c r="G12" s="177">
        <f>+F12/C12*100</f>
        <v>47.016654073597977</v>
      </c>
      <c r="H12" s="177">
        <f>+F12/E12*100</f>
        <v>487.68782471199461</v>
      </c>
      <c r="I12" s="168"/>
      <c r="J12" s="168"/>
      <c r="K12" s="168"/>
      <c r="L12" s="168"/>
      <c r="M12" s="168"/>
      <c r="N12" s="168"/>
      <c r="O12" s="168"/>
    </row>
    <row r="13" spans="1:15" x14ac:dyDescent="0.2">
      <c r="A13" s="178" t="s">
        <v>262</v>
      </c>
      <c r="B13" s="179" t="s">
        <v>263</v>
      </c>
      <c r="C13" s="177">
        <f>+C14</f>
        <v>154816.66</v>
      </c>
      <c r="D13" s="175"/>
      <c r="E13" s="175"/>
      <c r="F13" s="177">
        <f>+F14</f>
        <v>0</v>
      </c>
      <c r="G13" s="177">
        <f t="shared" ref="G13:G72" si="0">+F13/C13*100</f>
        <v>0</v>
      </c>
      <c r="H13" s="177"/>
      <c r="I13" s="168"/>
      <c r="J13" s="168"/>
      <c r="K13" s="168"/>
      <c r="L13" s="168"/>
      <c r="M13" s="168"/>
      <c r="N13" s="168"/>
      <c r="O13" s="168"/>
    </row>
    <row r="14" spans="1:15" x14ac:dyDescent="0.2">
      <c r="A14" s="53" t="s">
        <v>264</v>
      </c>
      <c r="B14" s="51" t="s">
        <v>265</v>
      </c>
      <c r="C14" s="47">
        <v>154816.66</v>
      </c>
      <c r="D14" s="174"/>
      <c r="E14" s="174"/>
      <c r="F14" s="47">
        <v>0</v>
      </c>
      <c r="G14" s="173">
        <f t="shared" si="0"/>
        <v>0</v>
      </c>
      <c r="H14" s="177"/>
      <c r="I14" s="49"/>
      <c r="J14" s="49"/>
      <c r="K14" s="49"/>
      <c r="L14" s="49"/>
      <c r="M14" s="50"/>
      <c r="N14" s="50"/>
      <c r="O14" s="50"/>
    </row>
    <row r="15" spans="1:15" x14ac:dyDescent="0.2">
      <c r="A15" s="178" t="s">
        <v>35</v>
      </c>
      <c r="B15" s="179" t="s">
        <v>36</v>
      </c>
      <c r="C15" s="177">
        <f>SUM(C16:C19)</f>
        <v>0</v>
      </c>
      <c r="D15" s="175"/>
      <c r="E15" s="175"/>
      <c r="F15" s="177">
        <f>SUM(F16:F19)</f>
        <v>10564.86</v>
      </c>
      <c r="G15" s="177" t="e">
        <f t="shared" si="0"/>
        <v>#DIV/0!</v>
      </c>
      <c r="H15" s="177"/>
      <c r="I15" s="168"/>
      <c r="J15" s="168"/>
      <c r="K15" s="168"/>
      <c r="L15" s="168"/>
      <c r="M15" s="168"/>
      <c r="N15" s="168"/>
      <c r="O15" s="168"/>
    </row>
    <row r="16" spans="1:15" x14ac:dyDescent="0.2">
      <c r="A16" s="53" t="s">
        <v>266</v>
      </c>
      <c r="B16" s="51" t="s">
        <v>267</v>
      </c>
      <c r="C16" s="47">
        <v>0</v>
      </c>
      <c r="D16" s="174"/>
      <c r="E16" s="174"/>
      <c r="F16" s="47">
        <v>10564.86</v>
      </c>
      <c r="G16" s="173" t="e">
        <f t="shared" si="0"/>
        <v>#DIV/0!</v>
      </c>
      <c r="H16" s="177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>
        <v>0</v>
      </c>
      <c r="D17" s="174"/>
      <c r="E17" s="174"/>
      <c r="F17" s="52">
        <v>0</v>
      </c>
      <c r="G17" s="172" t="e">
        <f t="shared" si="0"/>
        <v>#DIV/0!</v>
      </c>
      <c r="H17" s="177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0</v>
      </c>
      <c r="D18" s="174"/>
      <c r="E18" s="174"/>
      <c r="F18" s="47">
        <v>0</v>
      </c>
      <c r="G18" s="173" t="e">
        <f t="shared" si="0"/>
        <v>#DIV/0!</v>
      </c>
      <c r="H18" s="177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>
        <v>0</v>
      </c>
      <c r="D19" s="174"/>
      <c r="E19" s="174"/>
      <c r="F19" s="47">
        <v>0</v>
      </c>
      <c r="G19" s="173" t="e">
        <f t="shared" si="0"/>
        <v>#DIV/0!</v>
      </c>
      <c r="H19" s="177"/>
      <c r="I19" s="49"/>
      <c r="J19" s="49"/>
      <c r="K19" s="49"/>
      <c r="L19" s="49"/>
      <c r="M19" s="50"/>
      <c r="N19" s="50"/>
      <c r="O19" s="50"/>
    </row>
    <row r="20" spans="1:15" x14ac:dyDescent="0.2">
      <c r="A20" s="178" t="s">
        <v>270</v>
      </c>
      <c r="B20" s="179" t="s">
        <v>271</v>
      </c>
      <c r="C20" s="177">
        <f>+C21+C22</f>
        <v>0</v>
      </c>
      <c r="D20" s="175"/>
      <c r="E20" s="175"/>
      <c r="F20" s="177">
        <f>+F21+F22</f>
        <v>0</v>
      </c>
      <c r="G20" s="177" t="e">
        <f t="shared" si="0"/>
        <v>#DIV/0!</v>
      </c>
      <c r="H20" s="177"/>
      <c r="I20" s="168"/>
      <c r="J20" s="168"/>
      <c r="K20" s="168"/>
      <c r="L20" s="168"/>
      <c r="M20" s="168"/>
      <c r="N20" s="168"/>
      <c r="O20" s="168"/>
    </row>
    <row r="21" spans="1:15" x14ac:dyDescent="0.2">
      <c r="A21" s="53" t="s">
        <v>272</v>
      </c>
      <c r="B21" s="51" t="s">
        <v>273</v>
      </c>
      <c r="C21" s="47">
        <v>0</v>
      </c>
      <c r="D21" s="174"/>
      <c r="E21" s="174"/>
      <c r="F21" s="47">
        <v>0</v>
      </c>
      <c r="G21" s="173" t="e">
        <f t="shared" si="0"/>
        <v>#DIV/0!</v>
      </c>
      <c r="H21" s="177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>
        <v>0</v>
      </c>
      <c r="D22" s="174"/>
      <c r="E22" s="174"/>
      <c r="F22" s="52">
        <v>0</v>
      </c>
      <c r="G22" s="172" t="e">
        <f t="shared" si="0"/>
        <v>#DIV/0!</v>
      </c>
      <c r="H22" s="177"/>
      <c r="I22" s="49"/>
      <c r="J22" s="49"/>
      <c r="K22" s="49"/>
      <c r="L22" s="49"/>
      <c r="M22" s="50"/>
      <c r="N22" s="50"/>
      <c r="O22" s="50"/>
    </row>
    <row r="23" spans="1:15" x14ac:dyDescent="0.2">
      <c r="A23" s="178" t="s">
        <v>276</v>
      </c>
      <c r="B23" s="179" t="s">
        <v>277</v>
      </c>
      <c r="C23" s="177">
        <f>+C24+C25</f>
        <v>11300</v>
      </c>
      <c r="D23" s="175"/>
      <c r="E23" s="175"/>
      <c r="F23" s="177">
        <f>+F24+F25</f>
        <v>0</v>
      </c>
      <c r="G23" s="177">
        <f t="shared" si="0"/>
        <v>0</v>
      </c>
      <c r="H23" s="177"/>
      <c r="I23" s="168"/>
      <c r="J23" s="168"/>
      <c r="K23" s="168"/>
      <c r="L23" s="168"/>
      <c r="M23" s="168"/>
      <c r="N23" s="168"/>
      <c r="O23" s="168"/>
    </row>
    <row r="24" spans="1:15" ht="25.5" x14ac:dyDescent="0.2">
      <c r="A24" s="53" t="s">
        <v>278</v>
      </c>
      <c r="B24" s="51" t="s">
        <v>279</v>
      </c>
      <c r="C24" s="47">
        <v>11300</v>
      </c>
      <c r="D24" s="174"/>
      <c r="E24" s="174"/>
      <c r="F24" s="47">
        <v>0</v>
      </c>
      <c r="G24" s="173">
        <f t="shared" si="0"/>
        <v>0</v>
      </c>
      <c r="H24" s="177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0</v>
      </c>
      <c r="D25" s="174"/>
      <c r="E25" s="174"/>
      <c r="F25" s="47">
        <v>0</v>
      </c>
      <c r="G25" s="173" t="e">
        <f t="shared" si="0"/>
        <v>#DIV/0!</v>
      </c>
      <c r="H25" s="177"/>
      <c r="I25" s="49"/>
      <c r="J25" s="49"/>
      <c r="K25" s="49"/>
      <c r="L25" s="49"/>
      <c r="M25" s="50"/>
      <c r="N25" s="50"/>
      <c r="O25" s="50"/>
    </row>
    <row r="26" spans="1:15" x14ac:dyDescent="0.2">
      <c r="A26" s="178" t="s">
        <v>282</v>
      </c>
      <c r="B26" s="179" t="s">
        <v>283</v>
      </c>
      <c r="C26" s="177">
        <f>+C27+C28</f>
        <v>0</v>
      </c>
      <c r="D26" s="175"/>
      <c r="E26" s="175"/>
      <c r="F26" s="177">
        <f>+F27+F28</f>
        <v>0</v>
      </c>
      <c r="G26" s="177" t="e">
        <f t="shared" si="0"/>
        <v>#DIV/0!</v>
      </c>
      <c r="H26" s="177"/>
      <c r="I26" s="168"/>
      <c r="J26" s="168"/>
      <c r="K26" s="168"/>
      <c r="L26" s="168"/>
      <c r="M26" s="168"/>
      <c r="N26" s="168"/>
      <c r="O26" s="168"/>
    </row>
    <row r="27" spans="1:15" x14ac:dyDescent="0.2">
      <c r="A27" s="53" t="s">
        <v>284</v>
      </c>
      <c r="B27" s="51" t="s">
        <v>285</v>
      </c>
      <c r="C27" s="47">
        <v>0</v>
      </c>
      <c r="D27" s="174"/>
      <c r="E27" s="174"/>
      <c r="F27" s="47">
        <v>0</v>
      </c>
      <c r="G27" s="173" t="e">
        <f t="shared" si="0"/>
        <v>#DIV/0!</v>
      </c>
      <c r="H27" s="177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>
        <v>0</v>
      </c>
      <c r="D28" s="174"/>
      <c r="E28" s="174"/>
      <c r="F28" s="47">
        <v>0</v>
      </c>
      <c r="G28" s="173" t="e">
        <f t="shared" si="0"/>
        <v>#DIV/0!</v>
      </c>
      <c r="H28" s="177"/>
      <c r="I28" s="49"/>
      <c r="J28" s="49"/>
      <c r="K28" s="49"/>
      <c r="L28" s="49"/>
      <c r="M28" s="50"/>
      <c r="N28" s="50"/>
      <c r="O28" s="50"/>
    </row>
    <row r="29" spans="1:15" x14ac:dyDescent="0.2">
      <c r="A29" s="178" t="s">
        <v>288</v>
      </c>
      <c r="B29" s="179" t="s">
        <v>196</v>
      </c>
      <c r="C29" s="177">
        <f>SUM(C30:C33)</f>
        <v>201241.51</v>
      </c>
      <c r="D29" s="175"/>
      <c r="E29" s="175"/>
      <c r="F29" s="177">
        <f>SUM(F30:F33)</f>
        <v>162154.66</v>
      </c>
      <c r="G29" s="177">
        <f t="shared" si="0"/>
        <v>80.577143353774275</v>
      </c>
      <c r="H29" s="177"/>
      <c r="I29" s="168"/>
      <c r="J29" s="168"/>
      <c r="K29" s="168"/>
      <c r="L29" s="168"/>
      <c r="M29" s="168"/>
      <c r="N29" s="168"/>
      <c r="O29" s="168"/>
    </row>
    <row r="30" spans="1:15" x14ac:dyDescent="0.2">
      <c r="A30" s="53" t="s">
        <v>289</v>
      </c>
      <c r="B30" s="51" t="s">
        <v>198</v>
      </c>
      <c r="C30" s="47">
        <v>72133.61</v>
      </c>
      <c r="D30" s="175"/>
      <c r="E30" s="175"/>
      <c r="F30" s="47">
        <v>47763.4</v>
      </c>
      <c r="G30" s="173">
        <f t="shared" si="0"/>
        <v>66.215180413125026</v>
      </c>
      <c r="H30" s="177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0</v>
      </c>
      <c r="D31" s="175"/>
      <c r="E31" s="175"/>
      <c r="F31" s="47">
        <v>0</v>
      </c>
      <c r="G31" s="173" t="e">
        <f t="shared" si="0"/>
        <v>#DIV/0!</v>
      </c>
      <c r="H31" s="177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129107.9</v>
      </c>
      <c r="D32" s="175"/>
      <c r="E32" s="175"/>
      <c r="F32" s="47">
        <v>114391.26</v>
      </c>
      <c r="G32" s="173">
        <f t="shared" si="0"/>
        <v>88.601286210990963</v>
      </c>
      <c r="H32" s="177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>
        <v>0</v>
      </c>
      <c r="D33" s="175"/>
      <c r="E33" s="175"/>
      <c r="F33" s="47">
        <v>0</v>
      </c>
      <c r="G33" s="173" t="e">
        <f t="shared" si="0"/>
        <v>#DIV/0!</v>
      </c>
      <c r="H33" s="177"/>
      <c r="I33" s="50"/>
      <c r="J33" s="50"/>
      <c r="K33" s="50"/>
      <c r="L33" s="50"/>
      <c r="M33" s="50"/>
      <c r="N33" s="50"/>
      <c r="O33" s="50"/>
    </row>
    <row r="34" spans="1:15" x14ac:dyDescent="0.2">
      <c r="A34" s="180" t="s">
        <v>41</v>
      </c>
      <c r="B34" s="181" t="s">
        <v>42</v>
      </c>
      <c r="C34" s="177">
        <f>+C35+C42</f>
        <v>0.59</v>
      </c>
      <c r="D34" s="160">
        <v>0</v>
      </c>
      <c r="E34" s="160">
        <v>0</v>
      </c>
      <c r="F34" s="177">
        <f>+F35+F42</f>
        <v>2.97</v>
      </c>
      <c r="G34" s="177">
        <f>+F34/C34*100</f>
        <v>503.38983050847463</v>
      </c>
      <c r="H34" s="177" t="e">
        <f>+F34/E34*100</f>
        <v>#DIV/0!</v>
      </c>
      <c r="I34" s="168"/>
      <c r="J34" s="168"/>
      <c r="K34" s="168"/>
      <c r="L34" s="168"/>
      <c r="M34" s="168"/>
      <c r="N34" s="168"/>
      <c r="O34" s="168"/>
    </row>
    <row r="35" spans="1:15" x14ac:dyDescent="0.2">
      <c r="A35" s="178" t="s">
        <v>43</v>
      </c>
      <c r="B35" s="179" t="s">
        <v>44</v>
      </c>
      <c r="C35" s="177">
        <f>SUM(C36:C41)</f>
        <v>0.59</v>
      </c>
      <c r="D35" s="175"/>
      <c r="E35" s="175"/>
      <c r="F35" s="177">
        <f>SUM(F36:F41)</f>
        <v>2.97</v>
      </c>
      <c r="G35" s="177">
        <f t="shared" si="0"/>
        <v>503.38983050847463</v>
      </c>
      <c r="H35" s="177"/>
      <c r="I35" s="168"/>
      <c r="J35" s="168"/>
      <c r="K35" s="168"/>
      <c r="L35" s="168"/>
      <c r="M35" s="168"/>
      <c r="N35" s="168"/>
      <c r="O35" s="168"/>
    </row>
    <row r="36" spans="1:15" x14ac:dyDescent="0.2">
      <c r="A36" s="53" t="s">
        <v>294</v>
      </c>
      <c r="B36" s="51" t="s">
        <v>295</v>
      </c>
      <c r="C36" s="47">
        <v>0.59</v>
      </c>
      <c r="D36" s="175"/>
      <c r="E36" s="175"/>
      <c r="F36" s="47">
        <v>2.97</v>
      </c>
      <c r="G36" s="173">
        <f t="shared" si="0"/>
        <v>503.38983050847463</v>
      </c>
      <c r="H36" s="177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>
        <v>0</v>
      </c>
      <c r="D37" s="175"/>
      <c r="E37" s="175"/>
      <c r="F37" s="47">
        <v>0</v>
      </c>
      <c r="G37" s="173" t="e">
        <f t="shared" si="0"/>
        <v>#DIV/0!</v>
      </c>
      <c r="H37" s="177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>
        <v>0</v>
      </c>
      <c r="D38" s="175"/>
      <c r="E38" s="175"/>
      <c r="F38" s="47">
        <v>0</v>
      </c>
      <c r="G38" s="173" t="e">
        <f t="shared" si="0"/>
        <v>#DIV/0!</v>
      </c>
      <c r="H38" s="177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>
        <v>0</v>
      </c>
      <c r="D39" s="175"/>
      <c r="E39" s="175"/>
      <c r="F39" s="47">
        <v>0</v>
      </c>
      <c r="G39" s="173" t="e">
        <f t="shared" si="0"/>
        <v>#DIV/0!</v>
      </c>
      <c r="H39" s="177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>
        <v>0</v>
      </c>
      <c r="D40" s="175"/>
      <c r="E40" s="175"/>
      <c r="F40" s="47">
        <v>0</v>
      </c>
      <c r="G40" s="173" t="e">
        <f t="shared" si="0"/>
        <v>#DIV/0!</v>
      </c>
      <c r="H40" s="177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>
        <v>0</v>
      </c>
      <c r="D41" s="175"/>
      <c r="E41" s="175"/>
      <c r="F41" s="47">
        <v>0</v>
      </c>
      <c r="G41" s="173" t="e">
        <f t="shared" si="0"/>
        <v>#DIV/0!</v>
      </c>
      <c r="H41" s="177"/>
      <c r="I41" s="50"/>
      <c r="J41" s="50"/>
      <c r="K41" s="50"/>
      <c r="L41" s="50"/>
      <c r="M41" s="50"/>
      <c r="N41" s="50"/>
      <c r="O41" s="50"/>
    </row>
    <row r="42" spans="1:15" x14ac:dyDescent="0.2">
      <c r="A42" s="178" t="s">
        <v>304</v>
      </c>
      <c r="B42" s="179" t="s">
        <v>305</v>
      </c>
      <c r="C42" s="177">
        <f>+C43+C44</f>
        <v>0</v>
      </c>
      <c r="D42" s="175"/>
      <c r="E42" s="175"/>
      <c r="F42" s="177">
        <f>+F43+F44</f>
        <v>0</v>
      </c>
      <c r="G42" s="177" t="e">
        <f t="shared" si="0"/>
        <v>#DIV/0!</v>
      </c>
      <c r="H42" s="177"/>
      <c r="I42" s="168"/>
      <c r="J42" s="168"/>
      <c r="K42" s="168"/>
      <c r="L42" s="168"/>
      <c r="M42" s="168"/>
      <c r="N42" s="168"/>
      <c r="O42" s="168"/>
    </row>
    <row r="43" spans="1:15" x14ac:dyDescent="0.2">
      <c r="A43" s="53" t="s">
        <v>306</v>
      </c>
      <c r="B43" s="51" t="s">
        <v>307</v>
      </c>
      <c r="C43" s="47">
        <v>0</v>
      </c>
      <c r="D43" s="175"/>
      <c r="E43" s="175"/>
      <c r="F43" s="47">
        <v>0</v>
      </c>
      <c r="G43" s="173" t="e">
        <f t="shared" si="0"/>
        <v>#DIV/0!</v>
      </c>
      <c r="H43" s="177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>
        <v>0</v>
      </c>
      <c r="D44" s="175"/>
      <c r="E44" s="175"/>
      <c r="F44" s="47">
        <v>0</v>
      </c>
      <c r="G44" s="173" t="e">
        <f t="shared" si="0"/>
        <v>#DIV/0!</v>
      </c>
      <c r="H44" s="177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0" t="s">
        <v>47</v>
      </c>
      <c r="B45" s="181" t="s">
        <v>48</v>
      </c>
      <c r="C45" s="177">
        <f>+C46+C48</f>
        <v>600704.31000000006</v>
      </c>
      <c r="D45" s="160">
        <v>560559</v>
      </c>
      <c r="E45" s="160">
        <v>560559</v>
      </c>
      <c r="F45" s="177">
        <f>+F46+F48</f>
        <v>508519.5</v>
      </c>
      <c r="G45" s="177">
        <f>+F45/C45*100</f>
        <v>84.653879044084093</v>
      </c>
      <c r="H45" s="177">
        <f>+F45/E45*100</f>
        <v>90.716499066110785</v>
      </c>
      <c r="I45" s="168"/>
      <c r="J45" s="168"/>
      <c r="K45" s="168"/>
      <c r="L45" s="168"/>
      <c r="M45" s="168"/>
      <c r="N45" s="168"/>
      <c r="O45" s="168"/>
    </row>
    <row r="46" spans="1:15" x14ac:dyDescent="0.2">
      <c r="A46" s="178" t="s">
        <v>310</v>
      </c>
      <c r="B46" s="179" t="s">
        <v>311</v>
      </c>
      <c r="C46" s="177">
        <f>+C47</f>
        <v>0</v>
      </c>
      <c r="D46" s="175"/>
      <c r="E46" s="175"/>
      <c r="F46" s="177">
        <f>+F47</f>
        <v>0</v>
      </c>
      <c r="G46" s="177" t="e">
        <f t="shared" si="0"/>
        <v>#DIV/0!</v>
      </c>
      <c r="H46" s="177"/>
      <c r="I46" s="168"/>
      <c r="J46" s="168"/>
      <c r="K46" s="168"/>
      <c r="L46" s="168"/>
      <c r="M46" s="168"/>
      <c r="N46" s="168"/>
      <c r="O46" s="168"/>
    </row>
    <row r="47" spans="1:15" x14ac:dyDescent="0.2">
      <c r="A47" s="53" t="s">
        <v>312</v>
      </c>
      <c r="B47" s="51" t="s">
        <v>313</v>
      </c>
      <c r="C47" s="47">
        <v>0</v>
      </c>
      <c r="D47" s="175"/>
      <c r="E47" s="175"/>
      <c r="F47" s="47">
        <v>0</v>
      </c>
      <c r="G47" s="173" t="e">
        <f t="shared" si="0"/>
        <v>#DIV/0!</v>
      </c>
      <c r="H47" s="177"/>
      <c r="I47" s="50"/>
      <c r="J47" s="50"/>
      <c r="K47" s="50"/>
      <c r="L47" s="50"/>
      <c r="M47" s="50"/>
      <c r="N47" s="50"/>
      <c r="O47" s="50"/>
    </row>
    <row r="48" spans="1:15" x14ac:dyDescent="0.2">
      <c r="A48" s="178" t="s">
        <v>49</v>
      </c>
      <c r="B48" s="179" t="s">
        <v>50</v>
      </c>
      <c r="C48" s="177">
        <f>+C49+C50</f>
        <v>600704.31000000006</v>
      </c>
      <c r="D48" s="175"/>
      <c r="E48" s="175"/>
      <c r="F48" s="177">
        <f>+F49+F50</f>
        <v>508519.5</v>
      </c>
      <c r="G48" s="177">
        <f t="shared" si="0"/>
        <v>84.653879044084093</v>
      </c>
      <c r="H48" s="177"/>
      <c r="I48" s="168"/>
      <c r="J48" s="168"/>
      <c r="K48" s="168"/>
      <c r="L48" s="168"/>
      <c r="M48" s="168"/>
      <c r="N48" s="168"/>
      <c r="O48" s="168"/>
    </row>
    <row r="49" spans="1:15" x14ac:dyDescent="0.2">
      <c r="A49" s="53" t="s">
        <v>314</v>
      </c>
      <c r="B49" s="51" t="s">
        <v>315</v>
      </c>
      <c r="C49" s="47">
        <v>0</v>
      </c>
      <c r="D49" s="175"/>
      <c r="E49" s="175"/>
      <c r="F49" s="47">
        <v>0</v>
      </c>
      <c r="G49" s="173" t="e">
        <f t="shared" si="0"/>
        <v>#DIV/0!</v>
      </c>
      <c r="H49" s="177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600704.31000000006</v>
      </c>
      <c r="D50" s="175"/>
      <c r="E50" s="175"/>
      <c r="F50" s="47">
        <v>508519.5</v>
      </c>
      <c r="G50" s="173">
        <f t="shared" si="0"/>
        <v>84.653879044084093</v>
      </c>
      <c r="H50" s="177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0" t="s">
        <v>316</v>
      </c>
      <c r="B51" s="181" t="s">
        <v>317</v>
      </c>
      <c r="C51" s="177">
        <f>+C52+C55</f>
        <v>456283.23000000004</v>
      </c>
      <c r="D51" s="160">
        <v>534400</v>
      </c>
      <c r="E51" s="160">
        <v>534400</v>
      </c>
      <c r="F51" s="177">
        <f>+F52+F55</f>
        <v>506842.48000000004</v>
      </c>
      <c r="G51" s="177">
        <f>+F51/C51*100</f>
        <v>111.08067241480693</v>
      </c>
      <c r="H51" s="177">
        <f>+F51/E51*100</f>
        <v>94.843278443113775</v>
      </c>
      <c r="I51" s="168"/>
      <c r="J51" s="168"/>
      <c r="K51" s="168"/>
      <c r="L51" s="168"/>
      <c r="M51" s="168"/>
      <c r="N51" s="168"/>
      <c r="O51" s="168"/>
    </row>
    <row r="52" spans="1:15" x14ac:dyDescent="0.2">
      <c r="A52" s="178" t="s">
        <v>318</v>
      </c>
      <c r="B52" s="179" t="s">
        <v>319</v>
      </c>
      <c r="C52" s="177">
        <f>+C53+C54</f>
        <v>445819.34</v>
      </c>
      <c r="D52" s="175"/>
      <c r="E52" s="175"/>
      <c r="F52" s="177">
        <f>+F53+F54</f>
        <v>461733.42000000004</v>
      </c>
      <c r="G52" s="177">
        <f t="shared" si="0"/>
        <v>103.56962531055743</v>
      </c>
      <c r="H52" s="177"/>
      <c r="I52" s="168"/>
      <c r="J52" s="168"/>
      <c r="K52" s="168"/>
      <c r="L52" s="168"/>
      <c r="M52" s="168"/>
      <c r="N52" s="168"/>
      <c r="O52" s="168"/>
    </row>
    <row r="53" spans="1:15" x14ac:dyDescent="0.2">
      <c r="A53" s="53" t="s">
        <v>320</v>
      </c>
      <c r="B53" s="51" t="s">
        <v>321</v>
      </c>
      <c r="C53" s="47">
        <v>144.09</v>
      </c>
      <c r="D53" s="175"/>
      <c r="E53" s="175"/>
      <c r="F53" s="47">
        <v>84.39</v>
      </c>
      <c r="G53" s="173">
        <f t="shared" si="0"/>
        <v>58.567561940453885</v>
      </c>
      <c r="H53" s="177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445675.25</v>
      </c>
      <c r="D54" s="175"/>
      <c r="E54" s="175"/>
      <c r="F54" s="47">
        <v>461649.03</v>
      </c>
      <c r="G54" s="173">
        <f t="shared" si="0"/>
        <v>103.58417479992438</v>
      </c>
      <c r="H54" s="177"/>
      <c r="I54" s="50"/>
      <c r="J54" s="50"/>
      <c r="K54" s="50"/>
      <c r="L54" s="50"/>
      <c r="M54" s="50"/>
      <c r="N54" s="50"/>
      <c r="O54" s="50"/>
    </row>
    <row r="55" spans="1:15" x14ac:dyDescent="0.2">
      <c r="A55" s="178" t="s">
        <v>324</v>
      </c>
      <c r="B55" s="179" t="s">
        <v>325</v>
      </c>
      <c r="C55" s="177">
        <f>+C56+C57</f>
        <v>10463.89</v>
      </c>
      <c r="D55" s="175"/>
      <c r="E55" s="175"/>
      <c r="F55" s="177">
        <f>+F56+F57</f>
        <v>45109.060000000005</v>
      </c>
      <c r="G55" s="177">
        <f t="shared" si="0"/>
        <v>431.09264336685504</v>
      </c>
      <c r="H55" s="177"/>
      <c r="I55" s="168"/>
      <c r="J55" s="168"/>
      <c r="K55" s="168"/>
      <c r="L55" s="168"/>
      <c r="M55" s="168"/>
      <c r="N55" s="168"/>
      <c r="O55" s="168"/>
    </row>
    <row r="56" spans="1:15" x14ac:dyDescent="0.2">
      <c r="A56" s="53" t="s">
        <v>326</v>
      </c>
      <c r="B56" s="51" t="s">
        <v>212</v>
      </c>
      <c r="C56" s="47">
        <v>10463.89</v>
      </c>
      <c r="D56" s="175"/>
      <c r="E56" s="175"/>
      <c r="F56" s="47">
        <v>40092.51</v>
      </c>
      <c r="G56" s="173">
        <f t="shared" si="0"/>
        <v>383.15110346152341</v>
      </c>
      <c r="H56" s="177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>
        <v>0</v>
      </c>
      <c r="D57" s="175"/>
      <c r="E57" s="175"/>
      <c r="F57" s="47">
        <v>5016.55</v>
      </c>
      <c r="G57" s="173" t="e">
        <f t="shared" si="0"/>
        <v>#DIV/0!</v>
      </c>
      <c r="H57" s="177"/>
      <c r="I57" s="50"/>
      <c r="J57" s="50"/>
      <c r="K57" s="50"/>
      <c r="L57" s="50"/>
      <c r="M57" s="50"/>
      <c r="N57" s="50"/>
      <c r="O57" s="50"/>
    </row>
    <row r="58" spans="1:15" x14ac:dyDescent="0.2">
      <c r="A58" s="180">
        <v>67</v>
      </c>
      <c r="B58" s="181" t="s">
        <v>535</v>
      </c>
      <c r="C58" s="177">
        <f>+C59+C63</f>
        <v>3796242.77</v>
      </c>
      <c r="D58" s="160">
        <v>4113869</v>
      </c>
      <c r="E58" s="160">
        <v>4113869</v>
      </c>
      <c r="F58" s="177">
        <f>+F59+F63</f>
        <v>4605574.41</v>
      </c>
      <c r="G58" s="177">
        <f>+F58/C58*100</f>
        <v>121.31928037889948</v>
      </c>
      <c r="H58" s="177">
        <f>+F58/E58*100</f>
        <v>111.9523837535906</v>
      </c>
      <c r="I58" s="168"/>
      <c r="J58" s="168"/>
      <c r="K58" s="168"/>
      <c r="L58" s="168"/>
      <c r="M58" s="168"/>
      <c r="N58" s="168"/>
      <c r="O58" s="168"/>
    </row>
    <row r="59" spans="1:15" x14ac:dyDescent="0.2">
      <c r="A59" s="178">
        <v>671</v>
      </c>
      <c r="B59" s="179" t="s">
        <v>535</v>
      </c>
      <c r="C59" s="177">
        <f>+C60+C61+C62</f>
        <v>3796242.77</v>
      </c>
      <c r="D59" s="175"/>
      <c r="E59" s="175"/>
      <c r="F59" s="177">
        <f>+F60+F61+F62</f>
        <v>4605574.41</v>
      </c>
      <c r="G59" s="177">
        <f t="shared" si="0"/>
        <v>121.31928037889948</v>
      </c>
      <c r="H59" s="177"/>
      <c r="I59" s="168"/>
      <c r="J59" s="168"/>
      <c r="K59" s="168"/>
      <c r="L59" s="168"/>
      <c r="M59" s="168"/>
      <c r="N59" s="168"/>
      <c r="O59" s="168"/>
    </row>
    <row r="60" spans="1:15" x14ac:dyDescent="0.2">
      <c r="A60" s="170">
        <v>6711</v>
      </c>
      <c r="B60" s="169" t="s">
        <v>536</v>
      </c>
      <c r="C60" s="173">
        <v>3796242.77</v>
      </c>
      <c r="D60" s="175"/>
      <c r="E60" s="175"/>
      <c r="F60" s="173">
        <v>4605574.41</v>
      </c>
      <c r="G60" s="173">
        <f t="shared" si="0"/>
        <v>121.31928037889948</v>
      </c>
      <c r="H60" s="177"/>
      <c r="I60" s="168"/>
      <c r="J60" s="168"/>
      <c r="K60" s="168"/>
      <c r="L60" s="168"/>
      <c r="M60" s="168"/>
      <c r="N60" s="168"/>
      <c r="O60" s="168"/>
    </row>
    <row r="61" spans="1:15" x14ac:dyDescent="0.2">
      <c r="A61" s="170">
        <v>6712</v>
      </c>
      <c r="B61" s="169" t="s">
        <v>536</v>
      </c>
      <c r="C61" s="173">
        <v>0</v>
      </c>
      <c r="D61" s="175"/>
      <c r="E61" s="175"/>
      <c r="F61" s="173">
        <v>0</v>
      </c>
      <c r="G61" s="173" t="e">
        <f t="shared" si="0"/>
        <v>#DIV/0!</v>
      </c>
      <c r="H61" s="177"/>
      <c r="I61" s="168"/>
      <c r="J61" s="168"/>
      <c r="K61" s="168"/>
      <c r="L61" s="168"/>
      <c r="M61" s="168"/>
      <c r="N61" s="168"/>
      <c r="O61" s="168"/>
    </row>
    <row r="62" spans="1:15" x14ac:dyDescent="0.2">
      <c r="A62" s="170">
        <v>6714</v>
      </c>
      <c r="B62" s="169" t="s">
        <v>537</v>
      </c>
      <c r="C62" s="173">
        <v>0</v>
      </c>
      <c r="D62" s="175"/>
      <c r="E62" s="175"/>
      <c r="F62" s="173">
        <v>0</v>
      </c>
      <c r="G62" s="173" t="e">
        <f t="shared" si="0"/>
        <v>#DIV/0!</v>
      </c>
      <c r="H62" s="177"/>
      <c r="I62" s="168"/>
      <c r="J62" s="168"/>
      <c r="K62" s="168"/>
      <c r="L62" s="168"/>
      <c r="M62" s="168"/>
      <c r="N62" s="168"/>
      <c r="O62" s="168"/>
    </row>
    <row r="63" spans="1:15" x14ac:dyDescent="0.2">
      <c r="A63" s="178">
        <v>673</v>
      </c>
      <c r="B63" s="179" t="s">
        <v>545</v>
      </c>
      <c r="C63" s="177">
        <f>+C64</f>
        <v>0</v>
      </c>
      <c r="D63" s="175"/>
      <c r="E63" s="175"/>
      <c r="F63" s="177">
        <f>+F64</f>
        <v>0</v>
      </c>
      <c r="G63" s="177" t="e">
        <f t="shared" si="0"/>
        <v>#DIV/0!</v>
      </c>
      <c r="H63" s="177"/>
      <c r="I63" s="168"/>
      <c r="J63" s="168"/>
      <c r="K63" s="168"/>
      <c r="L63" s="168"/>
      <c r="M63" s="168"/>
      <c r="N63" s="168"/>
      <c r="O63" s="168"/>
    </row>
    <row r="64" spans="1:15" x14ac:dyDescent="0.2">
      <c r="A64" s="170">
        <v>6731</v>
      </c>
      <c r="B64" s="169" t="s">
        <v>545</v>
      </c>
      <c r="C64" s="173"/>
      <c r="D64" s="175"/>
      <c r="E64" s="175"/>
      <c r="F64" s="173">
        <v>0</v>
      </c>
      <c r="G64" s="173" t="e">
        <f t="shared" si="0"/>
        <v>#DIV/0!</v>
      </c>
      <c r="H64" s="177"/>
      <c r="I64" s="168"/>
      <c r="J64" s="168"/>
      <c r="K64" s="168"/>
      <c r="L64" s="168"/>
      <c r="M64" s="168"/>
      <c r="N64" s="168"/>
      <c r="O64" s="168"/>
    </row>
    <row r="65" spans="1:15" x14ac:dyDescent="0.2">
      <c r="A65" s="180" t="s">
        <v>328</v>
      </c>
      <c r="B65" s="181" t="s">
        <v>329</v>
      </c>
      <c r="C65" s="177">
        <f>+C66+C68</f>
        <v>2972.55</v>
      </c>
      <c r="D65" s="160">
        <v>0</v>
      </c>
      <c r="E65" s="160">
        <v>0</v>
      </c>
      <c r="F65" s="177">
        <f>+F66+F68</f>
        <v>553.23</v>
      </c>
      <c r="G65" s="177">
        <f>+F65/C65*100</f>
        <v>18.611293334006156</v>
      </c>
      <c r="H65" s="177" t="e">
        <f>+F65/E65*100</f>
        <v>#DIV/0!</v>
      </c>
      <c r="I65" s="168"/>
      <c r="J65" s="168"/>
      <c r="K65" s="168"/>
      <c r="L65" s="168"/>
      <c r="M65" s="168"/>
      <c r="N65" s="168"/>
      <c r="O65" s="168"/>
    </row>
    <row r="66" spans="1:15" x14ac:dyDescent="0.2">
      <c r="A66" s="178" t="s">
        <v>330</v>
      </c>
      <c r="B66" s="179" t="s">
        <v>331</v>
      </c>
      <c r="C66" s="177">
        <f>+C67</f>
        <v>0</v>
      </c>
      <c r="D66" s="175"/>
      <c r="E66" s="175"/>
      <c r="F66" s="177">
        <f>+F67</f>
        <v>0</v>
      </c>
      <c r="G66" s="177" t="e">
        <f t="shared" si="0"/>
        <v>#DIV/0!</v>
      </c>
      <c r="H66" s="177"/>
      <c r="I66" s="168"/>
      <c r="J66" s="168"/>
      <c r="K66" s="168"/>
      <c r="L66" s="168"/>
      <c r="M66" s="168"/>
      <c r="N66" s="168"/>
      <c r="O66" s="168"/>
    </row>
    <row r="67" spans="1:15" x14ac:dyDescent="0.2">
      <c r="A67" s="53" t="s">
        <v>332</v>
      </c>
      <c r="B67" s="51" t="s">
        <v>333</v>
      </c>
      <c r="C67" s="47">
        <v>0</v>
      </c>
      <c r="D67" s="175"/>
      <c r="E67" s="175"/>
      <c r="F67" s="47">
        <v>0</v>
      </c>
      <c r="G67" s="173" t="e">
        <f t="shared" si="0"/>
        <v>#DIV/0!</v>
      </c>
      <c r="H67" s="177"/>
      <c r="I67" s="50"/>
      <c r="J67" s="50"/>
      <c r="K67" s="50"/>
      <c r="L67" s="50"/>
      <c r="M67" s="50"/>
      <c r="N67" s="50"/>
      <c r="O67" s="50"/>
    </row>
    <row r="68" spans="1:15" x14ac:dyDescent="0.2">
      <c r="A68" s="178" t="s">
        <v>334</v>
      </c>
      <c r="B68" s="179" t="s">
        <v>335</v>
      </c>
      <c r="C68" s="177">
        <f>+C69</f>
        <v>2972.55</v>
      </c>
      <c r="D68" s="175"/>
      <c r="E68" s="175"/>
      <c r="F68" s="177">
        <f>+F69</f>
        <v>553.23</v>
      </c>
      <c r="G68" s="177">
        <f t="shared" si="0"/>
        <v>18.611293334006156</v>
      </c>
      <c r="H68" s="177"/>
      <c r="I68" s="168"/>
      <c r="J68" s="168"/>
      <c r="K68" s="168"/>
      <c r="L68" s="168"/>
      <c r="M68" s="168"/>
      <c r="N68" s="168"/>
      <c r="O68" s="168"/>
    </row>
    <row r="69" spans="1:15" x14ac:dyDescent="0.2">
      <c r="A69" s="53" t="s">
        <v>336</v>
      </c>
      <c r="B69" s="51" t="s">
        <v>335</v>
      </c>
      <c r="C69" s="47">
        <v>2972.55</v>
      </c>
      <c r="D69" s="175"/>
      <c r="E69" s="175"/>
      <c r="F69" s="47">
        <v>553.23</v>
      </c>
      <c r="G69" s="173">
        <f t="shared" si="0"/>
        <v>18.611293334006156</v>
      </c>
      <c r="H69" s="177"/>
      <c r="I69" s="50"/>
      <c r="J69" s="50"/>
      <c r="K69" s="50"/>
      <c r="L69" s="50"/>
      <c r="M69" s="50"/>
      <c r="N69" s="50"/>
      <c r="O69" s="50"/>
    </row>
    <row r="70" spans="1:15" x14ac:dyDescent="0.2">
      <c r="A70" s="192" t="s">
        <v>337</v>
      </c>
      <c r="B70" s="193" t="s">
        <v>338</v>
      </c>
      <c r="C70" s="194">
        <f>+C71+C76</f>
        <v>0</v>
      </c>
      <c r="D70" s="195">
        <f>+D71+D76</f>
        <v>0</v>
      </c>
      <c r="E70" s="195">
        <f>+E71+E76</f>
        <v>0</v>
      </c>
      <c r="F70" s="194">
        <f>+F71+F76</f>
        <v>0</v>
      </c>
      <c r="G70" s="196" t="e">
        <f>+F70/C70*100</f>
        <v>#DIV/0!</v>
      </c>
      <c r="H70" s="196" t="e">
        <f>+F70/E70*100</f>
        <v>#DIV/0!</v>
      </c>
      <c r="I70" s="165"/>
      <c r="J70" s="165"/>
      <c r="K70" s="165"/>
      <c r="L70" s="165"/>
      <c r="M70" s="165"/>
      <c r="N70" s="165"/>
      <c r="O70" s="165"/>
    </row>
    <row r="71" spans="1:15" x14ac:dyDescent="0.2">
      <c r="A71" s="180" t="s">
        <v>339</v>
      </c>
      <c r="B71" s="181" t="s">
        <v>340</v>
      </c>
      <c r="C71" s="177">
        <f>+C72+C74</f>
        <v>0</v>
      </c>
      <c r="D71" s="160">
        <v>0</v>
      </c>
      <c r="E71" s="160">
        <v>0</v>
      </c>
      <c r="F71" s="177">
        <f>+F72+F74</f>
        <v>0</v>
      </c>
      <c r="G71" s="177" t="e">
        <f>+F71/C71*100</f>
        <v>#DIV/0!</v>
      </c>
      <c r="H71" s="177" t="e">
        <f>+F71/E71*100</f>
        <v>#DIV/0!</v>
      </c>
      <c r="I71" s="168"/>
      <c r="J71" s="168"/>
      <c r="K71" s="168"/>
      <c r="L71" s="168"/>
      <c r="M71" s="168"/>
      <c r="N71" s="168"/>
      <c r="O71" s="168"/>
    </row>
    <row r="72" spans="1:15" x14ac:dyDescent="0.2">
      <c r="A72" s="178" t="s">
        <v>341</v>
      </c>
      <c r="B72" s="179" t="s">
        <v>342</v>
      </c>
      <c r="C72" s="177">
        <f>+C73</f>
        <v>0</v>
      </c>
      <c r="D72" s="175"/>
      <c r="E72" s="175"/>
      <c r="F72" s="177">
        <f>+F73</f>
        <v>0</v>
      </c>
      <c r="G72" s="177" t="e">
        <f t="shared" si="0"/>
        <v>#DIV/0!</v>
      </c>
      <c r="H72" s="177"/>
      <c r="I72" s="168"/>
      <c r="J72" s="168"/>
      <c r="K72" s="168"/>
      <c r="L72" s="168"/>
      <c r="M72" s="168"/>
      <c r="N72" s="168"/>
      <c r="O72" s="168"/>
    </row>
    <row r="73" spans="1:15" x14ac:dyDescent="0.2">
      <c r="A73" s="53" t="s">
        <v>343</v>
      </c>
      <c r="B73" s="51" t="s">
        <v>344</v>
      </c>
      <c r="C73" s="47">
        <v>0</v>
      </c>
      <c r="D73" s="175"/>
      <c r="E73" s="175"/>
      <c r="F73" s="47">
        <v>0</v>
      </c>
      <c r="G73" s="173" t="e">
        <f t="shared" ref="G73:G87" si="1">+F73/C73*100</f>
        <v>#DIV/0!</v>
      </c>
      <c r="H73" s="177"/>
      <c r="I73" s="50"/>
      <c r="J73" s="50"/>
      <c r="K73" s="50"/>
      <c r="L73" s="50"/>
      <c r="M73" s="50"/>
      <c r="N73" s="50"/>
      <c r="O73" s="50"/>
    </row>
    <row r="74" spans="1:15" x14ac:dyDescent="0.2">
      <c r="A74" s="178" t="s">
        <v>345</v>
      </c>
      <c r="B74" s="179" t="s">
        <v>346</v>
      </c>
      <c r="C74" s="177">
        <f>+C75</f>
        <v>0</v>
      </c>
      <c r="D74" s="175"/>
      <c r="E74" s="175"/>
      <c r="F74" s="177">
        <f>+F75</f>
        <v>0</v>
      </c>
      <c r="G74" s="177" t="e">
        <f t="shared" si="1"/>
        <v>#DIV/0!</v>
      </c>
      <c r="H74" s="177"/>
      <c r="I74" s="168"/>
      <c r="J74" s="168"/>
      <c r="K74" s="168"/>
      <c r="L74" s="168"/>
      <c r="M74" s="168"/>
      <c r="N74" s="168"/>
      <c r="O74" s="168"/>
    </row>
    <row r="75" spans="1:15" x14ac:dyDescent="0.2">
      <c r="A75" s="53" t="s">
        <v>347</v>
      </c>
      <c r="B75" s="51" t="s">
        <v>348</v>
      </c>
      <c r="C75" s="47">
        <v>0</v>
      </c>
      <c r="D75" s="175"/>
      <c r="E75" s="175"/>
      <c r="F75" s="47">
        <v>0</v>
      </c>
      <c r="G75" s="173" t="e">
        <f t="shared" si="1"/>
        <v>#DIV/0!</v>
      </c>
      <c r="H75" s="177"/>
      <c r="I75" s="50"/>
      <c r="J75" s="50"/>
      <c r="K75" s="50"/>
      <c r="L75" s="50"/>
      <c r="M75" s="50"/>
      <c r="N75" s="50"/>
      <c r="O75" s="50"/>
    </row>
    <row r="76" spans="1:15" x14ac:dyDescent="0.2">
      <c r="A76" s="180" t="s">
        <v>349</v>
      </c>
      <c r="B76" s="181" t="s">
        <v>350</v>
      </c>
      <c r="C76" s="177">
        <f>+C77+C80+C84+C87</f>
        <v>0</v>
      </c>
      <c r="D76" s="48">
        <v>0</v>
      </c>
      <c r="E76" s="48">
        <v>0</v>
      </c>
      <c r="F76" s="177">
        <f>+F77+F80+F84+F87</f>
        <v>0</v>
      </c>
      <c r="G76" s="177" t="e">
        <f>+F76/C76*100</f>
        <v>#DIV/0!</v>
      </c>
      <c r="H76" s="177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8" t="s">
        <v>351</v>
      </c>
      <c r="B77" s="179" t="s">
        <v>352</v>
      </c>
      <c r="C77" s="177">
        <f>+C78+C79</f>
        <v>0</v>
      </c>
      <c r="D77" s="175"/>
      <c r="E77" s="175"/>
      <c r="F77" s="177">
        <f>+F78+F79</f>
        <v>0</v>
      </c>
      <c r="G77" s="177" t="e">
        <f t="shared" si="1"/>
        <v>#DIV/0!</v>
      </c>
      <c r="H77" s="177"/>
      <c r="I77" s="168"/>
      <c r="J77" s="168"/>
      <c r="K77" s="168"/>
      <c r="L77" s="168"/>
      <c r="M77" s="168"/>
      <c r="N77" s="168"/>
      <c r="O77" s="168"/>
    </row>
    <row r="78" spans="1:15" x14ac:dyDescent="0.2">
      <c r="A78" s="53" t="s">
        <v>353</v>
      </c>
      <c r="B78" s="51" t="s">
        <v>354</v>
      </c>
      <c r="C78" s="47">
        <v>0</v>
      </c>
      <c r="D78" s="175"/>
      <c r="E78" s="175"/>
      <c r="F78" s="47">
        <v>0</v>
      </c>
      <c r="G78" s="173" t="e">
        <f>+F78/C78*100</f>
        <v>#DIV/0!</v>
      </c>
      <c r="H78" s="177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>
        <v>0</v>
      </c>
      <c r="D79" s="175"/>
      <c r="E79" s="175"/>
      <c r="F79" s="47">
        <v>0</v>
      </c>
      <c r="G79" s="173" t="e">
        <f t="shared" si="1"/>
        <v>#DIV/0!</v>
      </c>
      <c r="H79" s="177"/>
      <c r="I79" s="50"/>
      <c r="J79" s="50"/>
      <c r="K79" s="50"/>
      <c r="L79" s="50"/>
      <c r="M79" s="50"/>
      <c r="N79" s="50"/>
      <c r="O79" s="50"/>
    </row>
    <row r="80" spans="1:15" x14ac:dyDescent="0.2">
      <c r="A80" s="178" t="s">
        <v>356</v>
      </c>
      <c r="B80" s="179" t="s">
        <v>357</v>
      </c>
      <c r="C80" s="177">
        <f>+C81+C82+C83</f>
        <v>0</v>
      </c>
      <c r="D80" s="175"/>
      <c r="E80" s="175"/>
      <c r="F80" s="177">
        <f>+F81+F82+F83</f>
        <v>0</v>
      </c>
      <c r="G80" s="177" t="e">
        <f t="shared" si="1"/>
        <v>#DIV/0!</v>
      </c>
      <c r="H80" s="177"/>
      <c r="I80" s="168"/>
      <c r="J80" s="168"/>
      <c r="K80" s="168"/>
      <c r="L80" s="168"/>
      <c r="M80" s="168"/>
      <c r="N80" s="168"/>
      <c r="O80" s="168"/>
    </row>
    <row r="81" spans="1:15" x14ac:dyDescent="0.2">
      <c r="A81" s="53" t="s">
        <v>358</v>
      </c>
      <c r="B81" s="51" t="s">
        <v>242</v>
      </c>
      <c r="C81" s="47">
        <v>0</v>
      </c>
      <c r="D81" s="175"/>
      <c r="E81" s="175"/>
      <c r="F81" s="47">
        <v>0</v>
      </c>
      <c r="G81" s="173" t="e">
        <f t="shared" si="1"/>
        <v>#DIV/0!</v>
      </c>
      <c r="H81" s="177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>
        <v>0</v>
      </c>
      <c r="D82" s="175"/>
      <c r="E82" s="175"/>
      <c r="F82" s="47">
        <v>0</v>
      </c>
      <c r="G82" s="173" t="e">
        <f t="shared" si="1"/>
        <v>#DIV/0!</v>
      </c>
      <c r="H82" s="177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>
        <v>0</v>
      </c>
      <c r="D83" s="175"/>
      <c r="E83" s="175"/>
      <c r="F83" s="47">
        <v>0</v>
      </c>
      <c r="G83" s="173" t="e">
        <f t="shared" si="1"/>
        <v>#DIV/0!</v>
      </c>
      <c r="H83" s="177"/>
      <c r="I83" s="50"/>
      <c r="J83" s="50"/>
      <c r="K83" s="50"/>
      <c r="L83" s="50"/>
      <c r="M83" s="50"/>
      <c r="N83" s="50"/>
      <c r="O83" s="50"/>
    </row>
    <row r="84" spans="1:15" x14ac:dyDescent="0.2">
      <c r="A84" s="178" t="s">
        <v>363</v>
      </c>
      <c r="B84" s="179" t="s">
        <v>364</v>
      </c>
      <c r="C84" s="177">
        <f>+C85+C86</f>
        <v>0</v>
      </c>
      <c r="D84" s="175"/>
      <c r="E84" s="175"/>
      <c r="F84" s="177">
        <f>+F85+F86</f>
        <v>0</v>
      </c>
      <c r="G84" s="177" t="e">
        <f t="shared" si="1"/>
        <v>#DIV/0!</v>
      </c>
      <c r="H84" s="177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>
        <v>0</v>
      </c>
      <c r="D85" s="175"/>
      <c r="E85" s="175"/>
      <c r="F85" s="47">
        <v>0</v>
      </c>
      <c r="G85" s="173" t="e">
        <f t="shared" si="1"/>
        <v>#DIV/0!</v>
      </c>
      <c r="H85" s="177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>
        <v>0</v>
      </c>
      <c r="D86" s="175"/>
      <c r="E86" s="175"/>
      <c r="F86" s="47">
        <v>0</v>
      </c>
      <c r="G86" s="173" t="e">
        <f t="shared" si="1"/>
        <v>#DIV/0!</v>
      </c>
      <c r="H86" s="177"/>
      <c r="I86" s="50"/>
      <c r="J86" s="50"/>
      <c r="K86" s="50"/>
      <c r="L86" s="50"/>
      <c r="M86" s="50"/>
      <c r="N86" s="50"/>
      <c r="O86" s="50"/>
    </row>
    <row r="87" spans="1:15" x14ac:dyDescent="0.2">
      <c r="A87" s="178" t="s">
        <v>369</v>
      </c>
      <c r="B87" s="179" t="s">
        <v>370</v>
      </c>
      <c r="C87" s="177">
        <f>+C88</f>
        <v>0</v>
      </c>
      <c r="D87" s="175"/>
      <c r="E87" s="175"/>
      <c r="F87" s="177">
        <f>+F88</f>
        <v>0</v>
      </c>
      <c r="G87" s="177" t="e">
        <f t="shared" si="1"/>
        <v>#DIV/0!</v>
      </c>
      <c r="H87" s="177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>
        <v>0</v>
      </c>
      <c r="D88" s="175"/>
      <c r="E88" s="175"/>
      <c r="F88" s="47">
        <v>0</v>
      </c>
      <c r="G88" s="173" t="e">
        <f>+F88/C88*100</f>
        <v>#DIV/0!</v>
      </c>
      <c r="H88" s="177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113" sqref="F113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402" t="s">
        <v>0</v>
      </c>
      <c r="B1" s="402"/>
      <c r="C1" s="402"/>
      <c r="D1" s="402"/>
      <c r="E1" s="402"/>
      <c r="F1" s="402"/>
      <c r="G1" s="402"/>
      <c r="H1" s="402"/>
      <c r="I1" s="38"/>
      <c r="J1" s="38"/>
      <c r="K1" s="38"/>
      <c r="L1" s="163"/>
      <c r="M1" s="163"/>
      <c r="N1" s="163"/>
      <c r="O1" s="163"/>
    </row>
    <row r="2" spans="1:15" ht="18" hidden="1" x14ac:dyDescent="0.2">
      <c r="A2" s="166"/>
      <c r="B2" s="166"/>
      <c r="C2" s="166"/>
      <c r="D2" s="166"/>
      <c r="E2" s="166"/>
      <c r="F2" s="166"/>
      <c r="G2" s="166"/>
      <c r="H2" s="176"/>
      <c r="I2" s="167"/>
      <c r="J2" s="167"/>
      <c r="K2" s="167"/>
      <c r="L2" s="163"/>
      <c r="M2" s="163"/>
      <c r="N2" s="163"/>
      <c r="O2" s="163"/>
    </row>
    <row r="3" spans="1:15" ht="15.75" hidden="1" customHeight="1" x14ac:dyDescent="0.2">
      <c r="A3" s="402" t="s">
        <v>23</v>
      </c>
      <c r="B3" s="402"/>
      <c r="C3" s="402"/>
      <c r="D3" s="402"/>
      <c r="E3" s="402"/>
      <c r="F3" s="402"/>
      <c r="G3" s="402"/>
      <c r="H3" s="402"/>
      <c r="I3" s="38"/>
      <c r="J3" s="38"/>
      <c r="K3" s="38"/>
      <c r="L3" s="163"/>
      <c r="M3" s="163"/>
      <c r="N3" s="163"/>
      <c r="O3" s="163"/>
    </row>
    <row r="4" spans="1:15" ht="18" hidden="1" x14ac:dyDescent="0.2">
      <c r="A4" s="166"/>
      <c r="B4" s="166"/>
      <c r="C4" s="166"/>
      <c r="D4" s="166"/>
      <c r="E4" s="166"/>
      <c r="F4" s="166"/>
      <c r="G4" s="166"/>
      <c r="H4" s="176"/>
      <c r="I4" s="167"/>
      <c r="J4" s="167"/>
      <c r="K4" s="167"/>
      <c r="L4" s="163"/>
      <c r="M4" s="163"/>
      <c r="N4" s="163"/>
      <c r="O4" s="163"/>
    </row>
    <row r="5" spans="1:15" ht="15.75" hidden="1" customHeight="1" x14ac:dyDescent="0.2">
      <c r="A5" s="402" t="s">
        <v>24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163"/>
      <c r="M5" s="163"/>
      <c r="N5" s="163"/>
      <c r="O5" s="163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6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401" t="s">
        <v>3</v>
      </c>
      <c r="B7" s="401"/>
      <c r="C7" s="161" t="s">
        <v>589</v>
      </c>
      <c r="D7" s="161" t="s">
        <v>560</v>
      </c>
      <c r="E7" s="161" t="s">
        <v>561</v>
      </c>
      <c r="F7" s="161" t="s">
        <v>590</v>
      </c>
      <c r="G7" s="69" t="s">
        <v>260</v>
      </c>
      <c r="H7" s="161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400">
        <v>1</v>
      </c>
      <c r="B8" s="400"/>
      <c r="C8" s="70">
        <v>2</v>
      </c>
      <c r="D8" s="70">
        <v>3</v>
      </c>
      <c r="E8" s="70">
        <v>4.3333333333333304</v>
      </c>
      <c r="F8" s="70">
        <v>5.0833333333333304</v>
      </c>
      <c r="G8" s="70">
        <v>6</v>
      </c>
      <c r="H8" s="162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8"/>
      <c r="B9" s="199" t="s">
        <v>80</v>
      </c>
      <c r="C9" s="191">
        <f>+C10+C113</f>
        <v>5019766.4899999984</v>
      </c>
      <c r="D9" s="191">
        <f>+D10+D113</f>
        <v>5476275</v>
      </c>
      <c r="E9" s="191">
        <f>+E10+E113</f>
        <v>5476275</v>
      </c>
      <c r="F9" s="191">
        <f>+F10+F113</f>
        <v>6042776.3499999987</v>
      </c>
      <c r="G9" s="191">
        <f t="shared" ref="G9:G72" si="0">+F9/C9*100</f>
        <v>120.37963044771034</v>
      </c>
      <c r="H9" s="191">
        <f>+F9/D9*100</f>
        <v>110.34464759348278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2" t="s">
        <v>81</v>
      </c>
      <c r="B10" s="193" t="s">
        <v>82</v>
      </c>
      <c r="C10" s="194">
        <f>+C11++C23+C56+C65+C73+C90+C98</f>
        <v>4954313.2799999984</v>
      </c>
      <c r="D10" s="195">
        <f>+D11++D23+D56+D65+D73+D90+D98</f>
        <v>5335430</v>
      </c>
      <c r="E10" s="195">
        <f>+E11++E23+E56+E65+E73+E90+E98</f>
        <v>5335430</v>
      </c>
      <c r="F10" s="194">
        <f>+F11++F23+F56+F65+F73+F90+F98</f>
        <v>5940744.9299999988</v>
      </c>
      <c r="G10" s="194">
        <f>+F10/C10*100</f>
        <v>119.91056266026037</v>
      </c>
      <c r="H10" s="194">
        <f>+F10/D10*100</f>
        <v>111.34519485777152</v>
      </c>
      <c r="I10" s="165"/>
      <c r="J10" s="165"/>
      <c r="K10" s="165"/>
      <c r="L10" s="165"/>
      <c r="M10" s="165"/>
      <c r="N10" s="165"/>
      <c r="O10" s="165"/>
    </row>
    <row r="11" spans="1:15" x14ac:dyDescent="0.2">
      <c r="A11" s="180" t="s">
        <v>83</v>
      </c>
      <c r="B11" s="181" t="s">
        <v>84</v>
      </c>
      <c r="C11" s="177">
        <f>+C12+C17+C19</f>
        <v>4117852.9299999997</v>
      </c>
      <c r="D11" s="160">
        <v>4442961</v>
      </c>
      <c r="E11" s="160">
        <v>4442961</v>
      </c>
      <c r="F11" s="177">
        <f>+F12+F17+F19</f>
        <v>4913601.7699999996</v>
      </c>
      <c r="G11" s="177">
        <f t="shared" si="0"/>
        <v>119.32436280574012</v>
      </c>
      <c r="H11" s="177">
        <f>+F11/D11*100</f>
        <v>110.59295298788352</v>
      </c>
      <c r="I11" s="168"/>
      <c r="J11" s="168"/>
      <c r="K11" s="168"/>
      <c r="L11" s="168"/>
      <c r="M11" s="168"/>
      <c r="N11" s="168"/>
      <c r="O11" s="168"/>
    </row>
    <row r="12" spans="1:15" x14ac:dyDescent="0.2">
      <c r="A12" s="178" t="s">
        <v>85</v>
      </c>
      <c r="B12" s="179" t="s">
        <v>86</v>
      </c>
      <c r="C12" s="177">
        <f>SUM(C13:C16)</f>
        <v>3279358.53</v>
      </c>
      <c r="D12" s="175"/>
      <c r="E12" s="175"/>
      <c r="F12" s="177">
        <f>SUM(F13:F16)</f>
        <v>3917923.9499999997</v>
      </c>
      <c r="G12" s="177">
        <f t="shared" si="0"/>
        <v>119.47226612028908</v>
      </c>
      <c r="H12" s="177"/>
      <c r="I12" s="168"/>
      <c r="J12" s="168"/>
      <c r="K12" s="168"/>
      <c r="L12" s="168"/>
      <c r="M12" s="168"/>
      <c r="N12" s="168"/>
      <c r="O12" s="168"/>
    </row>
    <row r="13" spans="1:15" x14ac:dyDescent="0.2">
      <c r="A13" s="68" t="s">
        <v>87</v>
      </c>
      <c r="B13" s="67" t="s">
        <v>88</v>
      </c>
      <c r="C13" s="64">
        <v>3214514.55</v>
      </c>
      <c r="D13" s="174"/>
      <c r="E13" s="174"/>
      <c r="F13" s="173">
        <v>3846762.05</v>
      </c>
      <c r="G13" s="173">
        <f t="shared" si="0"/>
        <v>119.66852195458253</v>
      </c>
      <c r="H13" s="177"/>
      <c r="I13" s="65"/>
      <c r="J13" s="65"/>
      <c r="K13" s="65"/>
      <c r="L13" s="65"/>
      <c r="M13" s="66"/>
      <c r="N13" s="66"/>
      <c r="O13" s="66"/>
    </row>
    <row r="14" spans="1:15" x14ac:dyDescent="0.2">
      <c r="A14" s="68" t="s">
        <v>373</v>
      </c>
      <c r="B14" s="67" t="s">
        <v>374</v>
      </c>
      <c r="C14" s="64">
        <v>0</v>
      </c>
      <c r="D14" s="174"/>
      <c r="E14" s="174"/>
      <c r="F14" s="173">
        <v>0</v>
      </c>
      <c r="G14" s="173" t="e">
        <f t="shared" si="0"/>
        <v>#DIV/0!</v>
      </c>
      <c r="H14" s="177"/>
      <c r="I14" s="65"/>
      <c r="J14" s="65"/>
      <c r="K14" s="65"/>
      <c r="L14" s="65"/>
      <c r="M14" s="66"/>
      <c r="N14" s="66"/>
      <c r="O14" s="66"/>
    </row>
    <row r="15" spans="1:15" x14ac:dyDescent="0.2">
      <c r="A15" s="68" t="s">
        <v>89</v>
      </c>
      <c r="B15" s="67" t="s">
        <v>90</v>
      </c>
      <c r="C15" s="64">
        <v>64843.98</v>
      </c>
      <c r="D15" s="174"/>
      <c r="E15" s="174"/>
      <c r="F15" s="173">
        <v>71161.899999999994</v>
      </c>
      <c r="G15" s="173">
        <f t="shared" si="0"/>
        <v>109.74326375401384</v>
      </c>
      <c r="H15" s="177"/>
      <c r="I15" s="65"/>
      <c r="J15" s="65"/>
      <c r="K15" s="65"/>
      <c r="L15" s="65"/>
      <c r="M15" s="66"/>
      <c r="N15" s="66"/>
      <c r="O15" s="66"/>
    </row>
    <row r="16" spans="1:15" x14ac:dyDescent="0.2">
      <c r="A16" s="68" t="s">
        <v>375</v>
      </c>
      <c r="B16" s="67" t="s">
        <v>376</v>
      </c>
      <c r="C16" s="64">
        <v>0</v>
      </c>
      <c r="D16" s="174"/>
      <c r="E16" s="174"/>
      <c r="F16" s="173">
        <v>0</v>
      </c>
      <c r="G16" s="173" t="e">
        <f t="shared" si="0"/>
        <v>#DIV/0!</v>
      </c>
      <c r="H16" s="177"/>
      <c r="I16" s="65"/>
      <c r="J16" s="65"/>
      <c r="K16" s="65"/>
      <c r="L16" s="65"/>
      <c r="M16" s="66"/>
      <c r="N16" s="66"/>
      <c r="O16" s="66"/>
    </row>
    <row r="17" spans="1:15" x14ac:dyDescent="0.2">
      <c r="A17" s="178" t="s">
        <v>91</v>
      </c>
      <c r="B17" s="179" t="s">
        <v>92</v>
      </c>
      <c r="C17" s="177">
        <f>+C18</f>
        <v>290891.90000000002</v>
      </c>
      <c r="D17" s="175"/>
      <c r="E17" s="175"/>
      <c r="F17" s="177">
        <f>+F18</f>
        <v>348980.95</v>
      </c>
      <c r="G17" s="177">
        <f t="shared" si="0"/>
        <v>119.9692909977899</v>
      </c>
      <c r="H17" s="177"/>
      <c r="I17" s="168"/>
      <c r="J17" s="168"/>
      <c r="K17" s="168"/>
      <c r="L17" s="168"/>
      <c r="M17" s="168"/>
      <c r="N17" s="168"/>
      <c r="O17" s="168"/>
    </row>
    <row r="18" spans="1:15" x14ac:dyDescent="0.2">
      <c r="A18" s="68" t="s">
        <v>93</v>
      </c>
      <c r="B18" s="67" t="s">
        <v>92</v>
      </c>
      <c r="C18" s="64">
        <v>290891.90000000002</v>
      </c>
      <c r="D18" s="174"/>
      <c r="E18" s="174"/>
      <c r="F18" s="173">
        <v>348980.95</v>
      </c>
      <c r="G18" s="173">
        <f t="shared" si="0"/>
        <v>119.9692909977899</v>
      </c>
      <c r="H18" s="177"/>
      <c r="I18" s="65"/>
      <c r="J18" s="65"/>
      <c r="K18" s="65"/>
      <c r="L18" s="65"/>
      <c r="M18" s="66"/>
      <c r="N18" s="66"/>
      <c r="O18" s="66"/>
    </row>
    <row r="19" spans="1:15" x14ac:dyDescent="0.2">
      <c r="A19" s="178" t="s">
        <v>94</v>
      </c>
      <c r="B19" s="179" t="s">
        <v>95</v>
      </c>
      <c r="C19" s="177">
        <f>SUM(C20:C22)</f>
        <v>547602.5</v>
      </c>
      <c r="D19" s="175"/>
      <c r="E19" s="175"/>
      <c r="F19" s="177">
        <f>SUM(F20:F22)</f>
        <v>646696.87</v>
      </c>
      <c r="G19" s="177">
        <f t="shared" si="0"/>
        <v>118.09604046730978</v>
      </c>
      <c r="H19" s="177"/>
      <c r="I19" s="168"/>
      <c r="J19" s="168"/>
      <c r="K19" s="168"/>
      <c r="L19" s="168"/>
      <c r="M19" s="168"/>
      <c r="N19" s="168"/>
      <c r="O19" s="168"/>
    </row>
    <row r="20" spans="1:15" x14ac:dyDescent="0.2">
      <c r="A20" s="68" t="s">
        <v>377</v>
      </c>
      <c r="B20" s="67" t="s">
        <v>378</v>
      </c>
      <c r="C20" s="64">
        <v>0</v>
      </c>
      <c r="D20" s="174"/>
      <c r="E20" s="174"/>
      <c r="F20" s="173">
        <v>0</v>
      </c>
      <c r="G20" s="173" t="e">
        <f t="shared" si="0"/>
        <v>#DIV/0!</v>
      </c>
      <c r="H20" s="177"/>
      <c r="I20" s="65"/>
      <c r="J20" s="65"/>
      <c r="K20" s="65"/>
      <c r="L20" s="65"/>
      <c r="M20" s="66"/>
      <c r="N20" s="66"/>
      <c r="O20" s="66"/>
    </row>
    <row r="21" spans="1:15" x14ac:dyDescent="0.2">
      <c r="A21" s="68" t="s">
        <v>96</v>
      </c>
      <c r="B21" s="67" t="s">
        <v>97</v>
      </c>
      <c r="C21" s="64">
        <v>547412.03</v>
      </c>
      <c r="D21" s="174"/>
      <c r="E21" s="174"/>
      <c r="F21" s="173">
        <v>646642.07999999996</v>
      </c>
      <c r="G21" s="173">
        <f t="shared" si="0"/>
        <v>118.1271226355767</v>
      </c>
      <c r="H21" s="177"/>
      <c r="I21" s="65"/>
      <c r="J21" s="65"/>
      <c r="K21" s="65"/>
      <c r="L21" s="65"/>
      <c r="M21" s="66"/>
      <c r="N21" s="66"/>
      <c r="O21" s="66"/>
    </row>
    <row r="22" spans="1:15" x14ac:dyDescent="0.2">
      <c r="A22" s="68" t="s">
        <v>379</v>
      </c>
      <c r="B22" s="67" t="s">
        <v>380</v>
      </c>
      <c r="C22" s="64">
        <v>190.47</v>
      </c>
      <c r="D22" s="174"/>
      <c r="E22" s="174"/>
      <c r="F22" s="173">
        <v>54.79</v>
      </c>
      <c r="G22" s="173">
        <f t="shared" si="0"/>
        <v>28.765684884758752</v>
      </c>
      <c r="H22" s="177"/>
      <c r="I22" s="65"/>
      <c r="J22" s="65"/>
      <c r="K22" s="65"/>
      <c r="L22" s="65"/>
      <c r="M22" s="66"/>
      <c r="N22" s="66"/>
      <c r="O22" s="66"/>
    </row>
    <row r="23" spans="1:15" x14ac:dyDescent="0.2">
      <c r="A23" s="180" t="s">
        <v>98</v>
      </c>
      <c r="B23" s="181" t="s">
        <v>99</v>
      </c>
      <c r="C23" s="177">
        <f>+C24+C29+C36+C46+C48</f>
        <v>820242.69</v>
      </c>
      <c r="D23" s="160">
        <v>882537</v>
      </c>
      <c r="E23" s="160">
        <v>882537</v>
      </c>
      <c r="F23" s="177">
        <f>+F24+F29+F36+F46+F48</f>
        <v>1017691.69</v>
      </c>
      <c r="G23" s="177">
        <f t="shared" si="0"/>
        <v>124.07202190366367</v>
      </c>
      <c r="H23" s="177">
        <f>+F23/D23*100</f>
        <v>115.31433696264293</v>
      </c>
      <c r="I23" s="168"/>
      <c r="J23" s="168"/>
      <c r="K23" s="168"/>
      <c r="L23" s="168"/>
      <c r="M23" s="168"/>
      <c r="N23" s="168"/>
      <c r="O23" s="168"/>
    </row>
    <row r="24" spans="1:15" x14ac:dyDescent="0.2">
      <c r="A24" s="178" t="s">
        <v>100</v>
      </c>
      <c r="B24" s="179" t="s">
        <v>101</v>
      </c>
      <c r="C24" s="177">
        <f>SUM(C25:C28)</f>
        <v>182223.37000000002</v>
      </c>
      <c r="D24" s="175"/>
      <c r="E24" s="175"/>
      <c r="F24" s="177">
        <f>SUM(F25:F28)</f>
        <v>258693.57</v>
      </c>
      <c r="G24" s="177">
        <f t="shared" si="0"/>
        <v>141.96508932965074</v>
      </c>
      <c r="H24" s="177"/>
      <c r="I24" s="168"/>
      <c r="J24" s="168"/>
      <c r="K24" s="168"/>
      <c r="L24" s="168"/>
      <c r="M24" s="168"/>
      <c r="N24" s="168"/>
      <c r="O24" s="168"/>
    </row>
    <row r="25" spans="1:15" x14ac:dyDescent="0.2">
      <c r="A25" s="68" t="s">
        <v>102</v>
      </c>
      <c r="B25" s="67" t="s">
        <v>103</v>
      </c>
      <c r="C25" s="64">
        <v>104979.36</v>
      </c>
      <c r="D25" s="174"/>
      <c r="E25" s="174"/>
      <c r="F25" s="173">
        <v>92387.01</v>
      </c>
      <c r="G25" s="173">
        <f t="shared" si="0"/>
        <v>88.004927825812601</v>
      </c>
      <c r="H25" s="177"/>
      <c r="I25" s="65"/>
      <c r="J25" s="65"/>
      <c r="K25" s="65"/>
      <c r="L25" s="65"/>
      <c r="M25" s="66"/>
      <c r="N25" s="66"/>
      <c r="O25" s="66"/>
    </row>
    <row r="26" spans="1:15" x14ac:dyDescent="0.2">
      <c r="A26" s="68" t="s">
        <v>104</v>
      </c>
      <c r="B26" s="67" t="s">
        <v>105</v>
      </c>
      <c r="C26" s="64">
        <v>40175.72</v>
      </c>
      <c r="D26" s="174"/>
      <c r="E26" s="174"/>
      <c r="F26" s="173">
        <v>36342.15</v>
      </c>
      <c r="G26" s="173">
        <f t="shared" si="0"/>
        <v>90.457993036590253</v>
      </c>
      <c r="H26" s="177"/>
      <c r="I26" s="65"/>
      <c r="J26" s="65"/>
      <c r="K26" s="65"/>
      <c r="L26" s="65"/>
      <c r="M26" s="66"/>
      <c r="N26" s="66"/>
      <c r="O26" s="66"/>
    </row>
    <row r="27" spans="1:15" x14ac:dyDescent="0.2">
      <c r="A27" s="68" t="s">
        <v>106</v>
      </c>
      <c r="B27" s="67" t="s">
        <v>107</v>
      </c>
      <c r="C27" s="64">
        <v>37068.29</v>
      </c>
      <c r="D27" s="174"/>
      <c r="E27" s="174"/>
      <c r="F27" s="173">
        <v>129828.91</v>
      </c>
      <c r="G27" s="173">
        <f t="shared" si="0"/>
        <v>350.24251186121614</v>
      </c>
      <c r="H27" s="177"/>
      <c r="I27" s="66"/>
      <c r="J27" s="66"/>
      <c r="K27" s="66"/>
      <c r="L27" s="66"/>
      <c r="M27" s="66"/>
      <c r="N27" s="66"/>
      <c r="O27" s="66"/>
    </row>
    <row r="28" spans="1:15" x14ac:dyDescent="0.2">
      <c r="A28" s="68" t="s">
        <v>108</v>
      </c>
      <c r="B28" s="67" t="s">
        <v>109</v>
      </c>
      <c r="C28" s="64">
        <v>0</v>
      </c>
      <c r="D28" s="174"/>
      <c r="E28" s="174"/>
      <c r="F28" s="173">
        <v>135.5</v>
      </c>
      <c r="G28" s="173" t="e">
        <f t="shared" si="0"/>
        <v>#DIV/0!</v>
      </c>
      <c r="H28" s="177"/>
      <c r="I28" s="66"/>
      <c r="J28" s="66"/>
      <c r="K28" s="66"/>
      <c r="L28" s="66"/>
      <c r="M28" s="66"/>
      <c r="N28" s="66"/>
      <c r="O28" s="66"/>
    </row>
    <row r="29" spans="1:15" x14ac:dyDescent="0.2">
      <c r="A29" s="178" t="s">
        <v>110</v>
      </c>
      <c r="B29" s="179" t="s">
        <v>111</v>
      </c>
      <c r="C29" s="177">
        <f>SUM(C30:C35)</f>
        <v>143272.4</v>
      </c>
      <c r="D29" s="175"/>
      <c r="E29" s="175"/>
      <c r="F29" s="177">
        <f>SUM(F30:F35)</f>
        <v>168253.68000000002</v>
      </c>
      <c r="G29" s="177">
        <f t="shared" si="0"/>
        <v>117.43621241774412</v>
      </c>
      <c r="H29" s="177"/>
      <c r="I29" s="168"/>
      <c r="J29" s="168"/>
      <c r="K29" s="168"/>
      <c r="L29" s="168"/>
      <c r="M29" s="168"/>
      <c r="N29" s="168"/>
      <c r="O29" s="168"/>
    </row>
    <row r="30" spans="1:15" x14ac:dyDescent="0.2">
      <c r="A30" s="68" t="s">
        <v>112</v>
      </c>
      <c r="B30" s="67" t="s">
        <v>113</v>
      </c>
      <c r="C30" s="64">
        <v>34434.660000000003</v>
      </c>
      <c r="D30" s="174"/>
      <c r="E30" s="174"/>
      <c r="F30" s="173">
        <v>40406.480000000003</v>
      </c>
      <c r="G30" s="173">
        <f t="shared" si="0"/>
        <v>117.34246831535435</v>
      </c>
      <c r="H30" s="177"/>
      <c r="I30" s="66"/>
      <c r="J30" s="66"/>
      <c r="K30" s="66"/>
      <c r="L30" s="66"/>
      <c r="M30" s="66"/>
      <c r="N30" s="66"/>
      <c r="O30" s="66"/>
    </row>
    <row r="31" spans="1:15" x14ac:dyDescent="0.2">
      <c r="A31" s="68" t="s">
        <v>381</v>
      </c>
      <c r="B31" s="67" t="s">
        <v>382</v>
      </c>
      <c r="C31" s="64">
        <v>0</v>
      </c>
      <c r="D31" s="174"/>
      <c r="E31" s="174"/>
      <c r="F31" s="173">
        <v>0</v>
      </c>
      <c r="G31" s="173" t="e">
        <f t="shared" si="0"/>
        <v>#DIV/0!</v>
      </c>
      <c r="H31" s="177"/>
      <c r="I31" s="66"/>
      <c r="J31" s="66"/>
      <c r="K31" s="66"/>
      <c r="L31" s="66"/>
      <c r="M31" s="66"/>
      <c r="N31" s="66"/>
      <c r="O31" s="66"/>
    </row>
    <row r="32" spans="1:15" x14ac:dyDescent="0.2">
      <c r="A32" s="68" t="s">
        <v>114</v>
      </c>
      <c r="B32" s="67" t="s">
        <v>115</v>
      </c>
      <c r="C32" s="64">
        <v>91061.51</v>
      </c>
      <c r="D32" s="174"/>
      <c r="E32" s="174"/>
      <c r="F32" s="173">
        <v>98040.86</v>
      </c>
      <c r="G32" s="173">
        <f t="shared" si="0"/>
        <v>107.66443473208385</v>
      </c>
      <c r="H32" s="177"/>
      <c r="I32" s="66"/>
      <c r="J32" s="66"/>
      <c r="K32" s="66"/>
      <c r="L32" s="66"/>
      <c r="M32" s="66"/>
      <c r="N32" s="66"/>
      <c r="O32" s="66"/>
    </row>
    <row r="33" spans="1:15" x14ac:dyDescent="0.2">
      <c r="A33" s="68" t="s">
        <v>116</v>
      </c>
      <c r="B33" s="67" t="s">
        <v>117</v>
      </c>
      <c r="C33" s="64">
        <v>13318.69</v>
      </c>
      <c r="D33" s="174"/>
      <c r="E33" s="174"/>
      <c r="F33" s="173">
        <v>14390.36</v>
      </c>
      <c r="G33" s="173">
        <f t="shared" si="0"/>
        <v>108.04636191697531</v>
      </c>
      <c r="H33" s="177"/>
      <c r="I33" s="66"/>
      <c r="J33" s="66"/>
      <c r="K33" s="66"/>
      <c r="L33" s="66"/>
      <c r="M33" s="66"/>
      <c r="N33" s="66"/>
      <c r="O33" s="66"/>
    </row>
    <row r="34" spans="1:15" x14ac:dyDescent="0.2">
      <c r="A34" s="68" t="s">
        <v>118</v>
      </c>
      <c r="B34" s="67" t="s">
        <v>119</v>
      </c>
      <c r="C34" s="64">
        <v>1904.38</v>
      </c>
      <c r="D34" s="174"/>
      <c r="E34" s="174"/>
      <c r="F34" s="173">
        <v>13171.31</v>
      </c>
      <c r="G34" s="173">
        <f t="shared" si="0"/>
        <v>691.63244730568476</v>
      </c>
      <c r="H34" s="177"/>
      <c r="I34" s="66"/>
      <c r="J34" s="66"/>
      <c r="K34" s="66"/>
      <c r="L34" s="66"/>
      <c r="M34" s="66"/>
      <c r="N34" s="66"/>
      <c r="O34" s="66"/>
    </row>
    <row r="35" spans="1:15" x14ac:dyDescent="0.2">
      <c r="A35" s="68" t="s">
        <v>120</v>
      </c>
      <c r="B35" s="67" t="s">
        <v>121</v>
      </c>
      <c r="C35" s="64">
        <v>2553.16</v>
      </c>
      <c r="D35" s="174"/>
      <c r="E35" s="174"/>
      <c r="F35" s="173">
        <v>2244.67</v>
      </c>
      <c r="G35" s="173">
        <f t="shared" si="0"/>
        <v>87.917325980353766</v>
      </c>
      <c r="H35" s="177"/>
      <c r="I35" s="66"/>
      <c r="J35" s="66"/>
      <c r="K35" s="66"/>
      <c r="L35" s="66"/>
      <c r="M35" s="66"/>
      <c r="N35" s="66"/>
      <c r="O35" s="66"/>
    </row>
    <row r="36" spans="1:15" x14ac:dyDescent="0.2">
      <c r="A36" s="178" t="s">
        <v>122</v>
      </c>
      <c r="B36" s="179" t="s">
        <v>123</v>
      </c>
      <c r="C36" s="177">
        <f>SUM(C37:C45)</f>
        <v>350223.19</v>
      </c>
      <c r="D36" s="175"/>
      <c r="E36" s="175"/>
      <c r="F36" s="177">
        <f>SUM(F37:F45)</f>
        <v>502305.93999999994</v>
      </c>
      <c r="G36" s="177">
        <f t="shared" si="0"/>
        <v>143.42452308769157</v>
      </c>
      <c r="H36" s="177"/>
      <c r="I36" s="168"/>
      <c r="J36" s="168"/>
      <c r="K36" s="168"/>
      <c r="L36" s="168"/>
      <c r="M36" s="168"/>
      <c r="N36" s="168"/>
      <c r="O36" s="168"/>
    </row>
    <row r="37" spans="1:15" x14ac:dyDescent="0.2">
      <c r="A37" s="68" t="s">
        <v>124</v>
      </c>
      <c r="B37" s="67" t="s">
        <v>125</v>
      </c>
      <c r="C37" s="64">
        <v>15620.44</v>
      </c>
      <c r="D37" s="174"/>
      <c r="E37" s="174"/>
      <c r="F37" s="173">
        <v>16649.48</v>
      </c>
      <c r="G37" s="173">
        <f t="shared" si="0"/>
        <v>106.5877785773</v>
      </c>
      <c r="H37" s="177"/>
      <c r="I37" s="66"/>
      <c r="J37" s="66"/>
      <c r="K37" s="66"/>
      <c r="L37" s="66"/>
      <c r="M37" s="66"/>
      <c r="N37" s="66"/>
      <c r="O37" s="66"/>
    </row>
    <row r="38" spans="1:15" x14ac:dyDescent="0.2">
      <c r="A38" s="68" t="s">
        <v>126</v>
      </c>
      <c r="B38" s="67" t="s">
        <v>127</v>
      </c>
      <c r="C38" s="64">
        <v>31585.05</v>
      </c>
      <c r="D38" s="174"/>
      <c r="E38" s="174"/>
      <c r="F38" s="173">
        <v>62883.21</v>
      </c>
      <c r="G38" s="173">
        <f t="shared" si="0"/>
        <v>199.09169053080493</v>
      </c>
      <c r="H38" s="177"/>
      <c r="I38" s="66"/>
      <c r="J38" s="66"/>
      <c r="K38" s="66"/>
      <c r="L38" s="66"/>
      <c r="M38" s="66"/>
      <c r="N38" s="66"/>
      <c r="O38" s="66"/>
    </row>
    <row r="39" spans="1:15" x14ac:dyDescent="0.2">
      <c r="A39" s="68" t="s">
        <v>128</v>
      </c>
      <c r="B39" s="67" t="s">
        <v>129</v>
      </c>
      <c r="C39" s="64">
        <v>13145.17</v>
      </c>
      <c r="D39" s="174"/>
      <c r="E39" s="174"/>
      <c r="F39" s="173">
        <v>26823.9</v>
      </c>
      <c r="G39" s="173">
        <f t="shared" si="0"/>
        <v>204.05898135969335</v>
      </c>
      <c r="H39" s="177"/>
      <c r="I39" s="66"/>
      <c r="J39" s="66"/>
      <c r="K39" s="66"/>
      <c r="L39" s="66"/>
      <c r="M39" s="66"/>
      <c r="N39" s="66"/>
      <c r="O39" s="66"/>
    </row>
    <row r="40" spans="1:15" x14ac:dyDescent="0.2">
      <c r="A40" s="68" t="s">
        <v>130</v>
      </c>
      <c r="B40" s="67" t="s">
        <v>131</v>
      </c>
      <c r="C40" s="64">
        <v>16945.650000000001</v>
      </c>
      <c r="D40" s="174"/>
      <c r="E40" s="174"/>
      <c r="F40" s="173">
        <v>18096.669999999998</v>
      </c>
      <c r="G40" s="173">
        <f t="shared" si="0"/>
        <v>106.79242165393477</v>
      </c>
      <c r="H40" s="177"/>
      <c r="I40" s="66"/>
      <c r="J40" s="66"/>
      <c r="K40" s="66"/>
      <c r="L40" s="66"/>
      <c r="M40" s="66"/>
      <c r="N40" s="66"/>
      <c r="O40" s="66"/>
    </row>
    <row r="41" spans="1:15" x14ac:dyDescent="0.2">
      <c r="A41" s="68" t="s">
        <v>132</v>
      </c>
      <c r="B41" s="67" t="s">
        <v>133</v>
      </c>
      <c r="C41" s="64">
        <v>71558.289999999994</v>
      </c>
      <c r="D41" s="174"/>
      <c r="E41" s="174"/>
      <c r="F41" s="173">
        <v>82598.8</v>
      </c>
      <c r="G41" s="173">
        <f t="shared" si="0"/>
        <v>115.4286945649484</v>
      </c>
      <c r="H41" s="177"/>
      <c r="I41" s="66"/>
      <c r="J41" s="66"/>
      <c r="K41" s="66"/>
      <c r="L41" s="66"/>
      <c r="M41" s="66"/>
      <c r="N41" s="66"/>
      <c r="O41" s="66"/>
    </row>
    <row r="42" spans="1:15" x14ac:dyDescent="0.2">
      <c r="A42" s="68" t="s">
        <v>134</v>
      </c>
      <c r="B42" s="67" t="s">
        <v>135</v>
      </c>
      <c r="C42" s="64">
        <v>5929.91</v>
      </c>
      <c r="D42" s="174"/>
      <c r="E42" s="174"/>
      <c r="F42" s="173">
        <v>6494.86</v>
      </c>
      <c r="G42" s="173">
        <f t="shared" si="0"/>
        <v>109.52712604407149</v>
      </c>
      <c r="H42" s="177"/>
      <c r="I42" s="66"/>
      <c r="J42" s="66"/>
      <c r="K42" s="66"/>
      <c r="L42" s="66"/>
      <c r="M42" s="66"/>
      <c r="N42" s="66"/>
      <c r="O42" s="66"/>
    </row>
    <row r="43" spans="1:15" x14ac:dyDescent="0.2">
      <c r="A43" s="68" t="s">
        <v>136</v>
      </c>
      <c r="B43" s="67" t="s">
        <v>137</v>
      </c>
      <c r="C43" s="64">
        <v>118271.05</v>
      </c>
      <c r="D43" s="174"/>
      <c r="E43" s="174"/>
      <c r="F43" s="173">
        <v>184932.11</v>
      </c>
      <c r="G43" s="173">
        <f t="shared" si="0"/>
        <v>156.36295610802472</v>
      </c>
      <c r="H43" s="177"/>
      <c r="I43" s="66"/>
      <c r="J43" s="66"/>
      <c r="K43" s="66"/>
      <c r="L43" s="66"/>
      <c r="M43" s="66"/>
      <c r="N43" s="66"/>
      <c r="O43" s="66"/>
    </row>
    <row r="44" spans="1:15" x14ac:dyDescent="0.2">
      <c r="A44" s="68" t="s">
        <v>138</v>
      </c>
      <c r="B44" s="67" t="s">
        <v>139</v>
      </c>
      <c r="C44" s="64">
        <v>22376.02</v>
      </c>
      <c r="D44" s="174"/>
      <c r="E44" s="174"/>
      <c r="F44" s="173">
        <v>22261.18</v>
      </c>
      <c r="G44" s="173">
        <f t="shared" si="0"/>
        <v>99.486771999667496</v>
      </c>
      <c r="H44" s="177"/>
      <c r="I44" s="66"/>
      <c r="J44" s="66"/>
      <c r="K44" s="66"/>
      <c r="L44" s="66"/>
      <c r="M44" s="66"/>
      <c r="N44" s="66"/>
      <c r="O44" s="66"/>
    </row>
    <row r="45" spans="1:15" x14ac:dyDescent="0.2">
      <c r="A45" s="68" t="s">
        <v>140</v>
      </c>
      <c r="B45" s="67" t="s">
        <v>141</v>
      </c>
      <c r="C45" s="64">
        <v>54791.61</v>
      </c>
      <c r="D45" s="174"/>
      <c r="E45" s="174"/>
      <c r="F45" s="173">
        <v>81565.73</v>
      </c>
      <c r="G45" s="173">
        <f t="shared" si="0"/>
        <v>148.86536460600445</v>
      </c>
      <c r="H45" s="177"/>
      <c r="I45" s="66"/>
      <c r="J45" s="66"/>
      <c r="K45" s="66"/>
      <c r="L45" s="66"/>
      <c r="M45" s="66"/>
      <c r="N45" s="66"/>
      <c r="O45" s="66"/>
    </row>
    <row r="46" spans="1:15" x14ac:dyDescent="0.2">
      <c r="A46" s="178" t="s">
        <v>142</v>
      </c>
      <c r="B46" s="179" t="s">
        <v>143</v>
      </c>
      <c r="C46" s="177">
        <f>+C47</f>
        <v>13603.52</v>
      </c>
      <c r="D46" s="175"/>
      <c r="E46" s="175"/>
      <c r="F46" s="177">
        <f>+F47</f>
        <v>14816.54</v>
      </c>
      <c r="G46" s="177">
        <f t="shared" si="0"/>
        <v>108.91695678765497</v>
      </c>
      <c r="H46" s="177"/>
      <c r="I46" s="168"/>
      <c r="J46" s="168"/>
      <c r="K46" s="168"/>
      <c r="L46" s="168"/>
      <c r="M46" s="168"/>
      <c r="N46" s="168"/>
      <c r="O46" s="168"/>
    </row>
    <row r="47" spans="1:15" x14ac:dyDescent="0.2">
      <c r="A47" s="68" t="s">
        <v>144</v>
      </c>
      <c r="B47" s="67" t="s">
        <v>143</v>
      </c>
      <c r="C47" s="64">
        <v>13603.52</v>
      </c>
      <c r="D47" s="174"/>
      <c r="E47" s="174"/>
      <c r="F47" s="173">
        <v>14816.54</v>
      </c>
      <c r="G47" s="173">
        <f t="shared" si="0"/>
        <v>108.91695678765497</v>
      </c>
      <c r="H47" s="177"/>
      <c r="I47" s="66"/>
      <c r="J47" s="66"/>
      <c r="K47" s="66"/>
      <c r="L47" s="66"/>
      <c r="M47" s="66"/>
      <c r="N47" s="66"/>
      <c r="O47" s="66"/>
    </row>
    <row r="48" spans="1:15" x14ac:dyDescent="0.2">
      <c r="A48" s="178" t="s">
        <v>145</v>
      </c>
      <c r="B48" s="179" t="s">
        <v>146</v>
      </c>
      <c r="C48" s="177">
        <f>SUM(C49:C55)</f>
        <v>130920.21</v>
      </c>
      <c r="D48" s="175"/>
      <c r="E48" s="175"/>
      <c r="F48" s="177">
        <f>SUM(F49:F55)</f>
        <v>73621.959999999992</v>
      </c>
      <c r="G48" s="177">
        <f t="shared" si="0"/>
        <v>56.234220828090628</v>
      </c>
      <c r="H48" s="177"/>
      <c r="I48" s="168"/>
      <c r="J48" s="168"/>
      <c r="K48" s="168"/>
      <c r="L48" s="168"/>
      <c r="M48" s="168"/>
      <c r="N48" s="168"/>
      <c r="O48" s="168"/>
    </row>
    <row r="49" spans="1:15" ht="25.5" x14ac:dyDescent="0.2">
      <c r="A49" s="68" t="s">
        <v>147</v>
      </c>
      <c r="B49" s="67" t="s">
        <v>148</v>
      </c>
      <c r="C49" s="64">
        <v>0</v>
      </c>
      <c r="D49" s="174"/>
      <c r="E49" s="174"/>
      <c r="F49" s="173">
        <v>0</v>
      </c>
      <c r="G49" s="173" t="e">
        <f t="shared" si="0"/>
        <v>#DIV/0!</v>
      </c>
      <c r="H49" s="177"/>
      <c r="I49" s="66"/>
      <c r="J49" s="66"/>
      <c r="K49" s="66"/>
      <c r="L49" s="66"/>
      <c r="M49" s="66"/>
      <c r="N49" s="66"/>
      <c r="O49" s="66"/>
    </row>
    <row r="50" spans="1:15" x14ac:dyDescent="0.2">
      <c r="A50" s="68" t="s">
        <v>149</v>
      </c>
      <c r="B50" s="67" t="s">
        <v>150</v>
      </c>
      <c r="C50" s="64">
        <v>6799.19</v>
      </c>
      <c r="D50" s="174"/>
      <c r="E50" s="174"/>
      <c r="F50" s="173">
        <v>6894.15</v>
      </c>
      <c r="G50" s="173">
        <f t="shared" si="0"/>
        <v>101.39663695234285</v>
      </c>
      <c r="H50" s="177"/>
      <c r="I50" s="66"/>
      <c r="J50" s="66"/>
      <c r="K50" s="66"/>
      <c r="L50" s="66"/>
      <c r="M50" s="66"/>
      <c r="N50" s="66"/>
      <c r="O50" s="66"/>
    </row>
    <row r="51" spans="1:15" x14ac:dyDescent="0.2">
      <c r="A51" s="68" t="s">
        <v>151</v>
      </c>
      <c r="B51" s="67" t="s">
        <v>152</v>
      </c>
      <c r="C51" s="64">
        <v>33446.82</v>
      </c>
      <c r="D51" s="174"/>
      <c r="E51" s="174"/>
      <c r="F51" s="173">
        <v>13556.91</v>
      </c>
      <c r="G51" s="173">
        <f t="shared" si="0"/>
        <v>40.532732259748464</v>
      </c>
      <c r="H51" s="177"/>
      <c r="I51" s="66"/>
      <c r="J51" s="66"/>
      <c r="K51" s="66"/>
      <c r="L51" s="66"/>
      <c r="M51" s="66"/>
      <c r="N51" s="66"/>
      <c r="O51" s="66"/>
    </row>
    <row r="52" spans="1:15" x14ac:dyDescent="0.2">
      <c r="A52" s="68" t="s">
        <v>153</v>
      </c>
      <c r="B52" s="67" t="s">
        <v>154</v>
      </c>
      <c r="C52" s="64">
        <v>10347.950000000001</v>
      </c>
      <c r="D52" s="174"/>
      <c r="E52" s="174"/>
      <c r="F52" s="173">
        <v>10373.379999999999</v>
      </c>
      <c r="G52" s="173">
        <f t="shared" si="0"/>
        <v>100.24574915804578</v>
      </c>
      <c r="H52" s="177"/>
      <c r="I52" s="66"/>
      <c r="J52" s="66"/>
      <c r="K52" s="66"/>
      <c r="L52" s="66"/>
      <c r="M52" s="66"/>
      <c r="N52" s="66"/>
      <c r="O52" s="66"/>
    </row>
    <row r="53" spans="1:15" x14ac:dyDescent="0.2">
      <c r="A53" s="68" t="s">
        <v>155</v>
      </c>
      <c r="B53" s="67" t="s">
        <v>156</v>
      </c>
      <c r="C53" s="64">
        <v>9828.5499999999993</v>
      </c>
      <c r="D53" s="174"/>
      <c r="E53" s="174"/>
      <c r="F53" s="173">
        <v>8395.56</v>
      </c>
      <c r="G53" s="173">
        <f t="shared" si="0"/>
        <v>85.42012809620951</v>
      </c>
      <c r="H53" s="177"/>
      <c r="I53" s="66"/>
      <c r="J53" s="66"/>
      <c r="K53" s="66"/>
      <c r="L53" s="66"/>
      <c r="M53" s="66"/>
      <c r="N53" s="66"/>
      <c r="O53" s="66"/>
    </row>
    <row r="54" spans="1:15" x14ac:dyDescent="0.2">
      <c r="A54" s="68" t="s">
        <v>157</v>
      </c>
      <c r="B54" s="67" t="s">
        <v>158</v>
      </c>
      <c r="C54" s="64">
        <v>5329.61</v>
      </c>
      <c r="D54" s="174"/>
      <c r="E54" s="174"/>
      <c r="F54" s="173">
        <v>1990.1</v>
      </c>
      <c r="G54" s="173">
        <f t="shared" si="0"/>
        <v>37.340443296976702</v>
      </c>
      <c r="H54" s="177"/>
      <c r="I54" s="66"/>
      <c r="J54" s="66"/>
      <c r="K54" s="66"/>
      <c r="L54" s="66"/>
      <c r="M54" s="66"/>
      <c r="N54" s="66"/>
      <c r="O54" s="66"/>
    </row>
    <row r="55" spans="1:15" x14ac:dyDescent="0.2">
      <c r="A55" s="68" t="s">
        <v>159</v>
      </c>
      <c r="B55" s="67" t="s">
        <v>146</v>
      </c>
      <c r="C55" s="64">
        <v>65168.09</v>
      </c>
      <c r="D55" s="174"/>
      <c r="E55" s="174"/>
      <c r="F55" s="173">
        <v>32411.86</v>
      </c>
      <c r="G55" s="173">
        <f t="shared" si="0"/>
        <v>49.735783264478059</v>
      </c>
      <c r="H55" s="177"/>
      <c r="I55" s="66"/>
      <c r="J55" s="66"/>
      <c r="K55" s="66"/>
      <c r="L55" s="66"/>
      <c r="M55" s="66"/>
      <c r="N55" s="66"/>
      <c r="O55" s="66"/>
    </row>
    <row r="56" spans="1:15" x14ac:dyDescent="0.2">
      <c r="A56" s="180" t="s">
        <v>160</v>
      </c>
      <c r="B56" s="181" t="s">
        <v>161</v>
      </c>
      <c r="C56" s="177">
        <f>+C57+C60</f>
        <v>8465.93</v>
      </c>
      <c r="D56" s="160">
        <v>3732</v>
      </c>
      <c r="E56" s="160">
        <v>3732</v>
      </c>
      <c r="F56" s="177">
        <f>+F57+F60</f>
        <v>4648.88</v>
      </c>
      <c r="G56" s="177">
        <f t="shared" si="0"/>
        <v>54.91280934286015</v>
      </c>
      <c r="H56" s="177">
        <f>+F56/D56*100</f>
        <v>124.56806002143624</v>
      </c>
      <c r="I56" s="168"/>
      <c r="J56" s="168"/>
      <c r="K56" s="168"/>
      <c r="L56" s="168"/>
      <c r="M56" s="168"/>
      <c r="N56" s="168"/>
      <c r="O56" s="168"/>
    </row>
    <row r="57" spans="1:15" x14ac:dyDescent="0.2">
      <c r="A57" s="178" t="s">
        <v>383</v>
      </c>
      <c r="B57" s="179" t="s">
        <v>384</v>
      </c>
      <c r="C57" s="177">
        <f>+C58+C59</f>
        <v>0</v>
      </c>
      <c r="D57" s="175"/>
      <c r="E57" s="175"/>
      <c r="F57" s="177">
        <f>+F58+F59</f>
        <v>0</v>
      </c>
      <c r="G57" s="177" t="e">
        <f t="shared" si="0"/>
        <v>#DIV/0!</v>
      </c>
      <c r="H57" s="177"/>
      <c r="I57" s="168"/>
      <c r="J57" s="168"/>
      <c r="K57" s="168"/>
      <c r="L57" s="168"/>
      <c r="M57" s="168"/>
      <c r="N57" s="168"/>
      <c r="O57" s="168"/>
    </row>
    <row r="58" spans="1:15" ht="25.5" x14ac:dyDescent="0.2">
      <c r="A58" s="68" t="s">
        <v>385</v>
      </c>
      <c r="B58" s="67" t="s">
        <v>386</v>
      </c>
      <c r="C58" s="64">
        <v>0</v>
      </c>
      <c r="D58" s="174"/>
      <c r="E58" s="174"/>
      <c r="F58" s="173">
        <v>0</v>
      </c>
      <c r="G58" s="173" t="e">
        <f t="shared" si="0"/>
        <v>#DIV/0!</v>
      </c>
      <c r="H58" s="177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8" t="s">
        <v>387</v>
      </c>
      <c r="B59" s="67" t="s">
        <v>388</v>
      </c>
      <c r="C59" s="64">
        <v>0</v>
      </c>
      <c r="D59" s="174"/>
      <c r="E59" s="174"/>
      <c r="F59" s="173">
        <v>0</v>
      </c>
      <c r="G59" s="173" t="e">
        <f t="shared" si="0"/>
        <v>#DIV/0!</v>
      </c>
      <c r="H59" s="177"/>
      <c r="I59" s="66"/>
      <c r="J59" s="66"/>
      <c r="K59" s="66"/>
      <c r="L59" s="66"/>
      <c r="M59" s="66"/>
      <c r="N59" s="66"/>
      <c r="O59" s="66"/>
    </row>
    <row r="60" spans="1:15" x14ac:dyDescent="0.2">
      <c r="A60" s="178" t="s">
        <v>162</v>
      </c>
      <c r="B60" s="179" t="s">
        <v>163</v>
      </c>
      <c r="C60" s="177">
        <f>SUM(C61:C64)</f>
        <v>8465.93</v>
      </c>
      <c r="D60" s="175"/>
      <c r="E60" s="175"/>
      <c r="F60" s="177">
        <f>SUM(F61:F64)</f>
        <v>4648.88</v>
      </c>
      <c r="G60" s="177">
        <f t="shared" si="0"/>
        <v>54.91280934286015</v>
      </c>
      <c r="H60" s="177"/>
      <c r="I60" s="168"/>
      <c r="J60" s="168"/>
      <c r="K60" s="168"/>
      <c r="L60" s="168"/>
      <c r="M60" s="168"/>
      <c r="N60" s="168"/>
      <c r="O60" s="168"/>
    </row>
    <row r="61" spans="1:15" x14ac:dyDescent="0.2">
      <c r="A61" s="68" t="s">
        <v>164</v>
      </c>
      <c r="B61" s="67" t="s">
        <v>165</v>
      </c>
      <c r="C61" s="64">
        <v>3349.57</v>
      </c>
      <c r="D61" s="174"/>
      <c r="E61" s="174"/>
      <c r="F61" s="173">
        <v>2795.65</v>
      </c>
      <c r="G61" s="173">
        <f t="shared" si="0"/>
        <v>83.462951960997984</v>
      </c>
      <c r="H61" s="177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8" t="s">
        <v>389</v>
      </c>
      <c r="B62" s="67" t="s">
        <v>390</v>
      </c>
      <c r="C62" s="64">
        <v>660.85</v>
      </c>
      <c r="D62" s="174"/>
      <c r="E62" s="174"/>
      <c r="F62" s="173">
        <v>517.6</v>
      </c>
      <c r="G62" s="173">
        <f t="shared" si="0"/>
        <v>78.323371415601116</v>
      </c>
      <c r="H62" s="177"/>
      <c r="I62" s="66"/>
      <c r="J62" s="66"/>
      <c r="K62" s="66"/>
      <c r="L62" s="66"/>
      <c r="M62" s="66"/>
      <c r="N62" s="66"/>
      <c r="O62" s="66"/>
    </row>
    <row r="63" spans="1:15" x14ac:dyDescent="0.2">
      <c r="A63" s="68" t="s">
        <v>391</v>
      </c>
      <c r="B63" s="67" t="s">
        <v>392</v>
      </c>
      <c r="C63" s="64">
        <v>4455.51</v>
      </c>
      <c r="D63" s="174"/>
      <c r="E63" s="174"/>
      <c r="F63" s="173">
        <v>1335.63</v>
      </c>
      <c r="G63" s="173">
        <f t="shared" si="0"/>
        <v>29.977039665492839</v>
      </c>
      <c r="H63" s="177"/>
      <c r="I63" s="66"/>
      <c r="J63" s="66"/>
      <c r="K63" s="66"/>
      <c r="L63" s="66"/>
      <c r="M63" s="66"/>
      <c r="N63" s="66"/>
      <c r="O63" s="66"/>
    </row>
    <row r="64" spans="1:15" x14ac:dyDescent="0.2">
      <c r="A64" s="68" t="s">
        <v>393</v>
      </c>
      <c r="B64" s="67" t="s">
        <v>394</v>
      </c>
      <c r="C64" s="64">
        <v>0</v>
      </c>
      <c r="D64" s="174"/>
      <c r="E64" s="174"/>
      <c r="F64" s="173">
        <v>0</v>
      </c>
      <c r="G64" s="173" t="e">
        <f t="shared" si="0"/>
        <v>#DIV/0!</v>
      </c>
      <c r="H64" s="177"/>
      <c r="I64" s="66"/>
      <c r="J64" s="66"/>
      <c r="K64" s="66"/>
      <c r="L64" s="66"/>
      <c r="M64" s="66"/>
      <c r="N64" s="66"/>
      <c r="O64" s="66"/>
    </row>
    <row r="65" spans="1:15" x14ac:dyDescent="0.2">
      <c r="A65" s="180" t="s">
        <v>166</v>
      </c>
      <c r="B65" s="181" t="s">
        <v>167</v>
      </c>
      <c r="C65" s="177">
        <f>+C66+C68+C71</f>
        <v>0</v>
      </c>
      <c r="D65" s="160">
        <v>0</v>
      </c>
      <c r="E65" s="160">
        <v>0</v>
      </c>
      <c r="F65" s="177">
        <f>+F66+F68+F71</f>
        <v>0</v>
      </c>
      <c r="G65" s="177" t="e">
        <f t="shared" si="0"/>
        <v>#DIV/0!</v>
      </c>
      <c r="H65" s="177" t="e">
        <f>+F65/D65*100</f>
        <v>#DIV/0!</v>
      </c>
      <c r="I65" s="168"/>
      <c r="J65" s="168"/>
      <c r="K65" s="168"/>
      <c r="L65" s="168"/>
      <c r="M65" s="168"/>
      <c r="N65" s="168"/>
      <c r="O65" s="168"/>
    </row>
    <row r="66" spans="1:15" x14ac:dyDescent="0.2">
      <c r="A66" s="178" t="s">
        <v>395</v>
      </c>
      <c r="B66" s="179" t="s">
        <v>396</v>
      </c>
      <c r="C66" s="177">
        <f>+C67</f>
        <v>0</v>
      </c>
      <c r="D66" s="175"/>
      <c r="E66" s="175"/>
      <c r="F66" s="177">
        <f>+F67</f>
        <v>0</v>
      </c>
      <c r="G66" s="177" t="e">
        <f t="shared" si="0"/>
        <v>#DIV/0!</v>
      </c>
      <c r="H66" s="177"/>
      <c r="I66" s="168"/>
      <c r="J66" s="168"/>
      <c r="K66" s="168"/>
      <c r="L66" s="168"/>
      <c r="M66" s="168"/>
      <c r="N66" s="168"/>
      <c r="O66" s="168"/>
    </row>
    <row r="67" spans="1:15" ht="25.5" x14ac:dyDescent="0.2">
      <c r="A67" s="68" t="s">
        <v>397</v>
      </c>
      <c r="B67" s="67" t="s">
        <v>398</v>
      </c>
      <c r="C67" s="64">
        <v>0</v>
      </c>
      <c r="D67" s="174"/>
      <c r="E67" s="174"/>
      <c r="F67" s="173">
        <v>0</v>
      </c>
      <c r="G67" s="172" t="e">
        <f t="shared" si="0"/>
        <v>#DIV/0!</v>
      </c>
      <c r="H67" s="177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8" t="s">
        <v>168</v>
      </c>
      <c r="B68" s="179" t="s">
        <v>169</v>
      </c>
      <c r="C68" s="177">
        <f>+C69+C70</f>
        <v>0</v>
      </c>
      <c r="D68" s="175"/>
      <c r="E68" s="175"/>
      <c r="F68" s="177">
        <f>+F69+F70</f>
        <v>0</v>
      </c>
      <c r="G68" s="177" t="e">
        <f t="shared" si="0"/>
        <v>#DIV/0!</v>
      </c>
      <c r="H68" s="177"/>
      <c r="I68" s="168"/>
      <c r="J68" s="168"/>
      <c r="K68" s="168"/>
      <c r="L68" s="168"/>
      <c r="M68" s="168"/>
      <c r="N68" s="168"/>
      <c r="O68" s="168"/>
    </row>
    <row r="69" spans="1:15" ht="25.5" x14ac:dyDescent="0.2">
      <c r="A69" s="68" t="s">
        <v>399</v>
      </c>
      <c r="B69" s="67" t="s">
        <v>400</v>
      </c>
      <c r="C69" s="64">
        <v>0</v>
      </c>
      <c r="D69" s="174"/>
      <c r="E69" s="174"/>
      <c r="F69" s="173">
        <v>0</v>
      </c>
      <c r="G69" s="172" t="e">
        <f t="shared" si="0"/>
        <v>#DIV/0!</v>
      </c>
      <c r="H69" s="177"/>
      <c r="I69" s="66"/>
      <c r="J69" s="66"/>
      <c r="K69" s="66"/>
      <c r="L69" s="66"/>
      <c r="M69" s="66"/>
      <c r="N69" s="66"/>
      <c r="O69" s="66"/>
    </row>
    <row r="70" spans="1:15" x14ac:dyDescent="0.2">
      <c r="A70" s="68" t="s">
        <v>170</v>
      </c>
      <c r="B70" s="67" t="s">
        <v>171</v>
      </c>
      <c r="C70" s="64">
        <v>0</v>
      </c>
      <c r="D70" s="174"/>
      <c r="E70" s="174"/>
      <c r="F70" s="173">
        <v>0</v>
      </c>
      <c r="G70" s="173" t="e">
        <f t="shared" si="0"/>
        <v>#DIV/0!</v>
      </c>
      <c r="H70" s="177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8" t="s">
        <v>172</v>
      </c>
      <c r="B71" s="179" t="s">
        <v>173</v>
      </c>
      <c r="C71" s="177">
        <f>+C72</f>
        <v>0</v>
      </c>
      <c r="D71" s="175"/>
      <c r="E71" s="175"/>
      <c r="F71" s="177">
        <f>+F72</f>
        <v>0</v>
      </c>
      <c r="G71" s="177" t="e">
        <f t="shared" si="0"/>
        <v>#DIV/0!</v>
      </c>
      <c r="H71" s="177"/>
      <c r="I71" s="168"/>
      <c r="J71" s="168"/>
      <c r="K71" s="168"/>
      <c r="L71" s="168"/>
      <c r="M71" s="168"/>
      <c r="N71" s="168"/>
      <c r="O71" s="168"/>
    </row>
    <row r="72" spans="1:15" ht="25.5" x14ac:dyDescent="0.2">
      <c r="A72" s="68" t="s">
        <v>174</v>
      </c>
      <c r="B72" s="67" t="s">
        <v>173</v>
      </c>
      <c r="C72" s="64">
        <v>0</v>
      </c>
      <c r="D72" s="174"/>
      <c r="E72" s="174"/>
      <c r="F72" s="173">
        <v>0</v>
      </c>
      <c r="G72" s="173" t="e">
        <f t="shared" si="0"/>
        <v>#DIV/0!</v>
      </c>
      <c r="H72" s="177"/>
      <c r="I72" s="66"/>
      <c r="J72" s="66"/>
      <c r="K72" s="66"/>
      <c r="L72" s="66"/>
      <c r="M72" s="66"/>
      <c r="N72" s="66"/>
      <c r="O72" s="66"/>
    </row>
    <row r="73" spans="1:15" x14ac:dyDescent="0.2">
      <c r="A73" s="180" t="s">
        <v>175</v>
      </c>
      <c r="B73" s="181" t="s">
        <v>176</v>
      </c>
      <c r="C73" s="177">
        <f>+C74+C76+C78+C80+C83+C85</f>
        <v>0</v>
      </c>
      <c r="D73" s="160">
        <v>0</v>
      </c>
      <c r="E73" s="160">
        <v>0</v>
      </c>
      <c r="F73" s="177">
        <f>+F74+F76+F78+F80+F83+F85</f>
        <v>0</v>
      </c>
      <c r="G73" s="177" t="e">
        <f t="shared" ref="G73:G136" si="1">+F73/C73*100</f>
        <v>#DIV/0!</v>
      </c>
      <c r="H73" s="177" t="e">
        <f>+F73/D73*100</f>
        <v>#DIV/0!</v>
      </c>
      <c r="I73" s="168"/>
      <c r="J73" s="168"/>
      <c r="K73" s="168"/>
      <c r="L73" s="168"/>
      <c r="M73" s="168"/>
      <c r="N73" s="168"/>
      <c r="O73" s="168"/>
    </row>
    <row r="74" spans="1:15" x14ac:dyDescent="0.2">
      <c r="A74" s="178" t="s">
        <v>177</v>
      </c>
      <c r="B74" s="179" t="s">
        <v>178</v>
      </c>
      <c r="C74" s="177">
        <f>+C75</f>
        <v>0</v>
      </c>
      <c r="D74" s="175"/>
      <c r="E74" s="175"/>
      <c r="F74" s="177">
        <f>+F75</f>
        <v>0</v>
      </c>
      <c r="G74" s="177" t="e">
        <f t="shared" si="1"/>
        <v>#DIV/0!</v>
      </c>
      <c r="H74" s="177"/>
      <c r="I74" s="168"/>
      <c r="J74" s="168"/>
      <c r="K74" s="168"/>
      <c r="L74" s="168"/>
      <c r="M74" s="168"/>
      <c r="N74" s="168"/>
      <c r="O74" s="168"/>
    </row>
    <row r="75" spans="1:15" x14ac:dyDescent="0.2">
      <c r="A75" s="68" t="s">
        <v>179</v>
      </c>
      <c r="B75" s="67" t="s">
        <v>180</v>
      </c>
      <c r="C75" s="173">
        <v>0</v>
      </c>
      <c r="D75" s="174"/>
      <c r="E75" s="174"/>
      <c r="F75" s="172">
        <v>0</v>
      </c>
      <c r="G75" s="173" t="e">
        <f t="shared" si="1"/>
        <v>#DIV/0!</v>
      </c>
      <c r="H75" s="177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8" t="s">
        <v>401</v>
      </c>
      <c r="B76" s="179" t="s">
        <v>402</v>
      </c>
      <c r="C76" s="177">
        <f>+C77</f>
        <v>0</v>
      </c>
      <c r="D76" s="175"/>
      <c r="E76" s="175"/>
      <c r="F76" s="177">
        <f>+F77</f>
        <v>0</v>
      </c>
      <c r="G76" s="177" t="e">
        <f t="shared" si="1"/>
        <v>#DIV/0!</v>
      </c>
      <c r="H76" s="177"/>
      <c r="I76" s="168"/>
      <c r="J76" s="168"/>
      <c r="K76" s="168"/>
      <c r="L76" s="168"/>
      <c r="M76" s="168"/>
      <c r="N76" s="168"/>
      <c r="O76" s="168"/>
    </row>
    <row r="77" spans="1:15" ht="25.5" x14ac:dyDescent="0.2">
      <c r="A77" s="68" t="s">
        <v>403</v>
      </c>
      <c r="B77" s="67" t="s">
        <v>404</v>
      </c>
      <c r="C77" s="173">
        <v>0</v>
      </c>
      <c r="D77" s="174"/>
      <c r="E77" s="174"/>
      <c r="F77" s="172">
        <v>0</v>
      </c>
      <c r="G77" s="173" t="e">
        <f t="shared" si="1"/>
        <v>#DIV/0!</v>
      </c>
      <c r="H77" s="177"/>
      <c r="I77" s="66"/>
      <c r="J77" s="66"/>
      <c r="K77" s="66"/>
      <c r="L77" s="66"/>
      <c r="M77" s="66"/>
      <c r="N77" s="66"/>
      <c r="O77" s="66"/>
    </row>
    <row r="78" spans="1:15" x14ac:dyDescent="0.2">
      <c r="A78" s="178" t="s">
        <v>181</v>
      </c>
      <c r="B78" s="179" t="s">
        <v>182</v>
      </c>
      <c r="C78" s="177">
        <f>+C79</f>
        <v>0</v>
      </c>
      <c r="D78" s="175"/>
      <c r="E78" s="175"/>
      <c r="F78" s="177">
        <f>+F79</f>
        <v>0</v>
      </c>
      <c r="G78" s="177" t="e">
        <f t="shared" si="1"/>
        <v>#DIV/0!</v>
      </c>
      <c r="H78" s="177"/>
      <c r="I78" s="168"/>
      <c r="J78" s="168"/>
      <c r="K78" s="168"/>
      <c r="L78" s="168"/>
      <c r="M78" s="168"/>
      <c r="N78" s="168"/>
      <c r="O78" s="168"/>
    </row>
    <row r="79" spans="1:15" x14ac:dyDescent="0.2">
      <c r="A79" s="68" t="s">
        <v>183</v>
      </c>
      <c r="B79" s="67" t="s">
        <v>184</v>
      </c>
      <c r="C79" s="173">
        <v>0</v>
      </c>
      <c r="D79" s="174"/>
      <c r="E79" s="174"/>
      <c r="F79" s="172">
        <v>0</v>
      </c>
      <c r="G79" s="173" t="e">
        <f t="shared" si="1"/>
        <v>#DIV/0!</v>
      </c>
      <c r="H79" s="177"/>
      <c r="I79" s="66"/>
      <c r="J79" s="66"/>
      <c r="K79" s="66"/>
      <c r="L79" s="66"/>
      <c r="M79" s="66"/>
      <c r="N79" s="66"/>
      <c r="O79" s="66"/>
    </row>
    <row r="80" spans="1:15" x14ac:dyDescent="0.2">
      <c r="A80" s="178" t="s">
        <v>185</v>
      </c>
      <c r="B80" s="179" t="s">
        <v>186</v>
      </c>
      <c r="C80" s="177">
        <f>+C81+C82</f>
        <v>0</v>
      </c>
      <c r="D80" s="175"/>
      <c r="E80" s="175"/>
      <c r="F80" s="177">
        <f>+F81+F82</f>
        <v>0</v>
      </c>
      <c r="G80" s="177" t="e">
        <f t="shared" si="1"/>
        <v>#DIV/0!</v>
      </c>
      <c r="H80" s="177"/>
      <c r="I80" s="168"/>
      <c r="J80" s="168"/>
      <c r="K80" s="168"/>
      <c r="L80" s="168"/>
      <c r="M80" s="168"/>
      <c r="N80" s="168"/>
      <c r="O80" s="168"/>
    </row>
    <row r="81" spans="1:15" x14ac:dyDescent="0.2">
      <c r="A81" s="68" t="s">
        <v>187</v>
      </c>
      <c r="B81" s="67" t="s">
        <v>188</v>
      </c>
      <c r="C81" s="64">
        <v>0</v>
      </c>
      <c r="D81" s="174"/>
      <c r="E81" s="174"/>
      <c r="F81" s="173">
        <v>0</v>
      </c>
      <c r="G81" s="173" t="e">
        <f t="shared" si="1"/>
        <v>#DIV/0!</v>
      </c>
      <c r="H81" s="177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8" t="s">
        <v>189</v>
      </c>
      <c r="B82" s="67" t="s">
        <v>190</v>
      </c>
      <c r="C82" s="173">
        <v>0</v>
      </c>
      <c r="D82" s="174"/>
      <c r="E82" s="174"/>
      <c r="F82" s="172">
        <v>0</v>
      </c>
      <c r="G82" s="173" t="e">
        <f t="shared" si="1"/>
        <v>#DIV/0!</v>
      </c>
      <c r="H82" s="177"/>
      <c r="I82" s="66"/>
      <c r="J82" s="66"/>
      <c r="K82" s="66"/>
      <c r="L82" s="66"/>
      <c r="M82" s="66"/>
      <c r="N82" s="66"/>
      <c r="O82" s="66"/>
    </row>
    <row r="83" spans="1:15" x14ac:dyDescent="0.2">
      <c r="A83" s="178" t="s">
        <v>191</v>
      </c>
      <c r="B83" s="179" t="s">
        <v>192</v>
      </c>
      <c r="C83" s="177">
        <f>+C84</f>
        <v>0</v>
      </c>
      <c r="D83" s="175"/>
      <c r="E83" s="175"/>
      <c r="F83" s="177">
        <f>+F84</f>
        <v>0</v>
      </c>
      <c r="G83" s="177" t="e">
        <f t="shared" si="1"/>
        <v>#DIV/0!</v>
      </c>
      <c r="H83" s="177"/>
      <c r="I83" s="168"/>
      <c r="J83" s="168"/>
      <c r="K83" s="168"/>
      <c r="L83" s="168"/>
      <c r="M83" s="168"/>
      <c r="N83" s="168"/>
      <c r="O83" s="168"/>
    </row>
    <row r="84" spans="1:15" x14ac:dyDescent="0.2">
      <c r="A84" s="68" t="s">
        <v>193</v>
      </c>
      <c r="B84" s="67" t="s">
        <v>194</v>
      </c>
      <c r="C84" s="64">
        <v>0</v>
      </c>
      <c r="D84" s="174"/>
      <c r="E84" s="174"/>
      <c r="F84" s="173">
        <v>0</v>
      </c>
      <c r="G84" s="173" t="e">
        <f t="shared" si="1"/>
        <v>#DIV/0!</v>
      </c>
      <c r="H84" s="177"/>
      <c r="I84" s="66"/>
      <c r="J84" s="66"/>
      <c r="K84" s="66"/>
      <c r="L84" s="66"/>
      <c r="M84" s="66"/>
      <c r="N84" s="66"/>
      <c r="O84" s="66"/>
    </row>
    <row r="85" spans="1:15" x14ac:dyDescent="0.2">
      <c r="A85" s="178" t="s">
        <v>195</v>
      </c>
      <c r="B85" s="179" t="s">
        <v>196</v>
      </c>
      <c r="C85" s="177">
        <f>SUM(C86:C89)</f>
        <v>0</v>
      </c>
      <c r="D85" s="175"/>
      <c r="E85" s="175"/>
      <c r="F85" s="177">
        <f>SUM(F86:F89)</f>
        <v>0</v>
      </c>
      <c r="G85" s="177" t="e">
        <f t="shared" si="1"/>
        <v>#DIV/0!</v>
      </c>
      <c r="H85" s="177"/>
      <c r="I85" s="168"/>
      <c r="J85" s="168"/>
      <c r="K85" s="168"/>
      <c r="L85" s="168"/>
      <c r="M85" s="168"/>
      <c r="N85" s="168"/>
      <c r="O85" s="168"/>
    </row>
    <row r="86" spans="1:15" ht="25.5" x14ac:dyDescent="0.2">
      <c r="A86" s="68" t="s">
        <v>197</v>
      </c>
      <c r="B86" s="67" t="s">
        <v>198</v>
      </c>
      <c r="C86" s="64">
        <v>0</v>
      </c>
      <c r="D86" s="174"/>
      <c r="E86" s="174"/>
      <c r="F86" s="173">
        <v>0</v>
      </c>
      <c r="G86" s="173" t="e">
        <f t="shared" si="1"/>
        <v>#DIV/0!</v>
      </c>
      <c r="H86" s="177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8" t="s">
        <v>199</v>
      </c>
      <c r="B87" s="67" t="s">
        <v>200</v>
      </c>
      <c r="C87" s="64">
        <v>0</v>
      </c>
      <c r="D87" s="174"/>
      <c r="E87" s="174"/>
      <c r="F87" s="173">
        <v>0</v>
      </c>
      <c r="G87" s="173" t="e">
        <f t="shared" si="1"/>
        <v>#DIV/0!</v>
      </c>
      <c r="H87" s="177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8" t="s">
        <v>405</v>
      </c>
      <c r="B88" s="67" t="s">
        <v>292</v>
      </c>
      <c r="C88" s="64">
        <v>0</v>
      </c>
      <c r="D88" s="175"/>
      <c r="E88" s="175"/>
      <c r="F88" s="173">
        <v>0</v>
      </c>
      <c r="G88" s="173" t="e">
        <f t="shared" si="1"/>
        <v>#DIV/0!</v>
      </c>
      <c r="H88" s="177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8" t="s">
        <v>201</v>
      </c>
      <c r="B89" s="67" t="s">
        <v>202</v>
      </c>
      <c r="C89" s="64">
        <v>0</v>
      </c>
      <c r="D89" s="175"/>
      <c r="E89" s="175"/>
      <c r="F89" s="173">
        <v>0</v>
      </c>
      <c r="G89" s="173" t="e">
        <f t="shared" si="1"/>
        <v>#DIV/0!</v>
      </c>
      <c r="H89" s="177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0" t="s">
        <v>203</v>
      </c>
      <c r="B90" s="181" t="s">
        <v>204</v>
      </c>
      <c r="C90" s="177">
        <f>+C91+C94</f>
        <v>4700.5600000000004</v>
      </c>
      <c r="D90" s="160">
        <v>2700</v>
      </c>
      <c r="E90" s="160">
        <v>2700</v>
      </c>
      <c r="F90" s="177">
        <f>+F91+F94</f>
        <v>1196.42</v>
      </c>
      <c r="G90" s="177">
        <f t="shared" si="1"/>
        <v>25.452712017291557</v>
      </c>
      <c r="H90" s="177">
        <f>+F90/D90*100</f>
        <v>44.311851851851856</v>
      </c>
      <c r="I90" s="168"/>
      <c r="J90" s="168"/>
      <c r="K90" s="168"/>
      <c r="L90" s="168"/>
      <c r="M90" s="168"/>
      <c r="N90" s="168"/>
      <c r="O90" s="168"/>
    </row>
    <row r="91" spans="1:15" x14ac:dyDescent="0.2">
      <c r="A91" s="178" t="s">
        <v>406</v>
      </c>
      <c r="B91" s="179" t="s">
        <v>407</v>
      </c>
      <c r="C91" s="177">
        <f>+C92+C93</f>
        <v>0</v>
      </c>
      <c r="D91" s="175"/>
      <c r="E91" s="175"/>
      <c r="F91" s="177">
        <f>+F92+F93</f>
        <v>0</v>
      </c>
      <c r="G91" s="177" t="e">
        <f t="shared" si="1"/>
        <v>#DIV/0!</v>
      </c>
      <c r="H91" s="177"/>
      <c r="I91" s="168"/>
      <c r="J91" s="168"/>
      <c r="K91" s="168"/>
      <c r="L91" s="168"/>
      <c r="M91" s="168"/>
      <c r="N91" s="168"/>
      <c r="O91" s="168"/>
    </row>
    <row r="92" spans="1:15" ht="25.5" x14ac:dyDescent="0.2">
      <c r="A92" s="68" t="s">
        <v>408</v>
      </c>
      <c r="B92" s="67" t="s">
        <v>409</v>
      </c>
      <c r="C92" s="64">
        <v>0</v>
      </c>
      <c r="D92" s="175"/>
      <c r="E92" s="175"/>
      <c r="F92" s="173">
        <v>0</v>
      </c>
      <c r="G92" s="173" t="e">
        <f t="shared" si="1"/>
        <v>#DIV/0!</v>
      </c>
      <c r="H92" s="177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8" t="s">
        <v>410</v>
      </c>
      <c r="B93" s="67" t="s">
        <v>411</v>
      </c>
      <c r="C93" s="64">
        <v>0</v>
      </c>
      <c r="D93" s="175"/>
      <c r="E93" s="175"/>
      <c r="F93" s="173">
        <v>0</v>
      </c>
      <c r="G93" s="173" t="e">
        <f t="shared" si="1"/>
        <v>#DIV/0!</v>
      </c>
      <c r="H93" s="177"/>
      <c r="I93" s="66"/>
      <c r="J93" s="66"/>
      <c r="K93" s="66"/>
      <c r="L93" s="66"/>
      <c r="M93" s="66"/>
      <c r="N93" s="66"/>
      <c r="O93" s="66"/>
    </row>
    <row r="94" spans="1:15" x14ac:dyDescent="0.2">
      <c r="A94" s="178" t="s">
        <v>205</v>
      </c>
      <c r="B94" s="179" t="s">
        <v>206</v>
      </c>
      <c r="C94" s="177">
        <f>SUM(C95:C97)</f>
        <v>4700.5600000000004</v>
      </c>
      <c r="D94" s="175"/>
      <c r="E94" s="175"/>
      <c r="F94" s="177">
        <f>SUM(F95:F97)</f>
        <v>1196.42</v>
      </c>
      <c r="G94" s="177">
        <f t="shared" si="1"/>
        <v>25.452712017291557</v>
      </c>
      <c r="H94" s="177"/>
      <c r="I94" s="168"/>
      <c r="J94" s="168"/>
      <c r="K94" s="168"/>
      <c r="L94" s="168"/>
      <c r="M94" s="168"/>
      <c r="N94" s="168"/>
      <c r="O94" s="168"/>
    </row>
    <row r="95" spans="1:15" x14ac:dyDescent="0.2">
      <c r="A95" s="68" t="s">
        <v>207</v>
      </c>
      <c r="B95" s="67" t="s">
        <v>208</v>
      </c>
      <c r="C95" s="173">
        <v>4700.5600000000004</v>
      </c>
      <c r="D95" s="175"/>
      <c r="E95" s="175"/>
      <c r="F95" s="173">
        <v>1196.42</v>
      </c>
      <c r="G95" s="173">
        <f t="shared" si="1"/>
        <v>25.452712017291557</v>
      </c>
      <c r="H95" s="177"/>
      <c r="I95" s="66"/>
      <c r="J95" s="66"/>
      <c r="K95" s="66"/>
      <c r="L95" s="66"/>
      <c r="M95" s="66"/>
      <c r="N95" s="66"/>
      <c r="O95" s="66"/>
    </row>
    <row r="96" spans="1:15" x14ac:dyDescent="0.2">
      <c r="A96" s="68" t="s">
        <v>412</v>
      </c>
      <c r="B96" s="67" t="s">
        <v>413</v>
      </c>
      <c r="C96" s="173">
        <v>0</v>
      </c>
      <c r="D96" s="175"/>
      <c r="E96" s="175"/>
      <c r="F96" s="173">
        <v>0</v>
      </c>
      <c r="G96" s="173" t="e">
        <f t="shared" si="1"/>
        <v>#DIV/0!</v>
      </c>
      <c r="H96" s="177"/>
      <c r="I96" s="66"/>
      <c r="J96" s="66"/>
      <c r="K96" s="66"/>
      <c r="L96" s="66"/>
      <c r="M96" s="66"/>
      <c r="N96" s="66"/>
      <c r="O96" s="66"/>
    </row>
    <row r="97" spans="1:15" x14ac:dyDescent="0.2">
      <c r="A97" s="68" t="s">
        <v>414</v>
      </c>
      <c r="B97" s="67" t="s">
        <v>415</v>
      </c>
      <c r="C97" s="173">
        <v>0</v>
      </c>
      <c r="D97" s="175"/>
      <c r="E97" s="175"/>
      <c r="F97" s="173">
        <v>0</v>
      </c>
      <c r="G97" s="173" t="e">
        <f t="shared" si="1"/>
        <v>#DIV/0!</v>
      </c>
      <c r="H97" s="177"/>
      <c r="I97" s="66"/>
      <c r="J97" s="66"/>
      <c r="K97" s="66"/>
      <c r="L97" s="66"/>
      <c r="M97" s="66"/>
      <c r="N97" s="66"/>
      <c r="O97" s="66"/>
    </row>
    <row r="98" spans="1:15" x14ac:dyDescent="0.2">
      <c r="A98" s="180" t="s">
        <v>209</v>
      </c>
      <c r="B98" s="181" t="s">
        <v>210</v>
      </c>
      <c r="C98" s="177">
        <f>+C99+C103+C107</f>
        <v>3051.17</v>
      </c>
      <c r="D98" s="160">
        <v>3500</v>
      </c>
      <c r="E98" s="160">
        <v>3500</v>
      </c>
      <c r="F98" s="177">
        <f>+F99+F103+F107</f>
        <v>3606.17</v>
      </c>
      <c r="G98" s="177">
        <f t="shared" si="1"/>
        <v>118.18974360655092</v>
      </c>
      <c r="H98" s="177">
        <f>+F98/D98*100</f>
        <v>103.03342857142856</v>
      </c>
      <c r="I98" s="168"/>
      <c r="J98" s="168"/>
      <c r="K98" s="168"/>
      <c r="L98" s="168"/>
      <c r="M98" s="168"/>
      <c r="N98" s="168"/>
      <c r="O98" s="168"/>
    </row>
    <row r="99" spans="1:15" x14ac:dyDescent="0.2">
      <c r="A99" s="178" t="s">
        <v>211</v>
      </c>
      <c r="B99" s="179" t="s">
        <v>212</v>
      </c>
      <c r="C99" s="177">
        <f>SUM(C100:C102)</f>
        <v>3051.17</v>
      </c>
      <c r="D99" s="175"/>
      <c r="E99" s="175"/>
      <c r="F99" s="177">
        <f>SUM(F100:F102)</f>
        <v>3606.17</v>
      </c>
      <c r="G99" s="177">
        <f t="shared" si="1"/>
        <v>118.18974360655092</v>
      </c>
      <c r="H99" s="177"/>
      <c r="I99" s="168"/>
      <c r="J99" s="168"/>
      <c r="K99" s="168"/>
      <c r="L99" s="168"/>
      <c r="M99" s="168"/>
      <c r="N99" s="168"/>
      <c r="O99" s="168"/>
    </row>
    <row r="100" spans="1:15" x14ac:dyDescent="0.2">
      <c r="A100" s="68" t="s">
        <v>213</v>
      </c>
      <c r="B100" s="67" t="s">
        <v>214</v>
      </c>
      <c r="C100" s="173">
        <v>3051.17</v>
      </c>
      <c r="D100" s="175"/>
      <c r="E100" s="175"/>
      <c r="F100" s="173">
        <v>3606.17</v>
      </c>
      <c r="G100" s="173">
        <f t="shared" si="1"/>
        <v>118.18974360655092</v>
      </c>
      <c r="H100" s="177"/>
      <c r="I100" s="66"/>
      <c r="J100" s="66"/>
      <c r="K100" s="66"/>
      <c r="L100" s="66"/>
      <c r="M100" s="66"/>
      <c r="N100" s="66"/>
      <c r="O100" s="66"/>
    </row>
    <row r="101" spans="1:15" x14ac:dyDescent="0.2">
      <c r="A101" s="68" t="s">
        <v>416</v>
      </c>
      <c r="B101" s="67" t="s">
        <v>417</v>
      </c>
      <c r="C101" s="173">
        <v>0</v>
      </c>
      <c r="D101" s="175"/>
      <c r="E101" s="175"/>
      <c r="F101" s="173">
        <v>0</v>
      </c>
      <c r="G101" s="173" t="e">
        <f t="shared" si="1"/>
        <v>#DIV/0!</v>
      </c>
      <c r="H101" s="177"/>
      <c r="I101" s="66"/>
      <c r="J101" s="66"/>
      <c r="K101" s="66"/>
      <c r="L101" s="66"/>
      <c r="M101" s="66"/>
      <c r="N101" s="66"/>
      <c r="O101" s="66"/>
    </row>
    <row r="102" spans="1:15" x14ac:dyDescent="0.2">
      <c r="A102" s="68" t="s">
        <v>215</v>
      </c>
      <c r="B102" s="67" t="s">
        <v>216</v>
      </c>
      <c r="C102" s="173">
        <v>0</v>
      </c>
      <c r="D102" s="175"/>
      <c r="E102" s="175"/>
      <c r="F102" s="173">
        <v>0</v>
      </c>
      <c r="G102" s="173" t="e">
        <f t="shared" si="1"/>
        <v>#DIV/0!</v>
      </c>
      <c r="H102" s="177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8" t="s">
        <v>217</v>
      </c>
      <c r="B103" s="179" t="s">
        <v>218</v>
      </c>
      <c r="C103" s="177">
        <f>SUM(C104:C106)</f>
        <v>0</v>
      </c>
      <c r="D103" s="175"/>
      <c r="E103" s="175"/>
      <c r="F103" s="177">
        <f>SUM(F104:F106)</f>
        <v>0</v>
      </c>
      <c r="G103" s="177" t="e">
        <f t="shared" si="1"/>
        <v>#DIV/0!</v>
      </c>
      <c r="H103" s="177"/>
      <c r="I103" s="168"/>
      <c r="J103" s="168"/>
      <c r="K103" s="168"/>
      <c r="L103" s="168"/>
      <c r="M103" s="168"/>
      <c r="N103" s="168"/>
      <c r="O103" s="168"/>
    </row>
    <row r="104" spans="1:15" x14ac:dyDescent="0.2">
      <c r="A104" s="68" t="s">
        <v>219</v>
      </c>
      <c r="B104" s="67" t="s">
        <v>220</v>
      </c>
      <c r="C104" s="64">
        <v>0</v>
      </c>
      <c r="D104" s="175"/>
      <c r="E104" s="175"/>
      <c r="F104" s="64">
        <v>0</v>
      </c>
      <c r="G104" s="173" t="e">
        <f t="shared" si="1"/>
        <v>#DIV/0!</v>
      </c>
      <c r="H104" s="177"/>
      <c r="I104" s="66"/>
      <c r="J104" s="66"/>
      <c r="K104" s="66"/>
      <c r="L104" s="66"/>
      <c r="M104" s="66"/>
      <c r="N104" s="66"/>
      <c r="O104" s="66"/>
    </row>
    <row r="105" spans="1:15" x14ac:dyDescent="0.2">
      <c r="A105" s="68" t="s">
        <v>418</v>
      </c>
      <c r="B105" s="67" t="s">
        <v>419</v>
      </c>
      <c r="C105" s="64">
        <v>0</v>
      </c>
      <c r="D105" s="175"/>
      <c r="E105" s="175"/>
      <c r="F105" s="64">
        <v>0</v>
      </c>
      <c r="G105" s="173" t="e">
        <f t="shared" si="1"/>
        <v>#DIV/0!</v>
      </c>
      <c r="H105" s="177"/>
      <c r="I105" s="66"/>
      <c r="J105" s="66"/>
      <c r="K105" s="66"/>
      <c r="L105" s="66"/>
      <c r="M105" s="66"/>
      <c r="N105" s="66"/>
      <c r="O105" s="66"/>
    </row>
    <row r="106" spans="1:15" x14ac:dyDescent="0.2">
      <c r="A106" s="68" t="s">
        <v>221</v>
      </c>
      <c r="B106" s="67" t="s">
        <v>222</v>
      </c>
      <c r="C106" s="64">
        <v>0</v>
      </c>
      <c r="D106" s="175"/>
      <c r="E106" s="175"/>
      <c r="F106" s="64">
        <v>0</v>
      </c>
      <c r="G106" s="173" t="e">
        <f t="shared" si="1"/>
        <v>#DIV/0!</v>
      </c>
      <c r="H106" s="177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8" t="s">
        <v>223</v>
      </c>
      <c r="B107" s="179" t="s">
        <v>224</v>
      </c>
      <c r="C107" s="177">
        <f>SUM(C108:C112)</f>
        <v>0</v>
      </c>
      <c r="D107" s="175"/>
      <c r="E107" s="175"/>
      <c r="F107" s="177">
        <f>SUM(F108:F112)</f>
        <v>0</v>
      </c>
      <c r="G107" s="177" t="e">
        <f t="shared" si="1"/>
        <v>#DIV/0!</v>
      </c>
      <c r="H107" s="177"/>
      <c r="I107" s="168"/>
      <c r="J107" s="168"/>
      <c r="K107" s="168"/>
      <c r="L107" s="168"/>
      <c r="M107" s="168"/>
      <c r="N107" s="168"/>
      <c r="O107" s="168"/>
    </row>
    <row r="108" spans="1:15" x14ac:dyDescent="0.2">
      <c r="A108" s="68" t="s">
        <v>420</v>
      </c>
      <c r="B108" s="67" t="s">
        <v>421</v>
      </c>
      <c r="C108" s="64">
        <v>0</v>
      </c>
      <c r="D108" s="175"/>
      <c r="E108" s="175"/>
      <c r="F108" s="64">
        <v>0</v>
      </c>
      <c r="G108" s="173" t="e">
        <f t="shared" si="1"/>
        <v>#DIV/0!</v>
      </c>
      <c r="H108" s="177"/>
      <c r="I108" s="66"/>
      <c r="J108" s="66"/>
      <c r="K108" s="66"/>
      <c r="L108" s="66"/>
      <c r="M108" s="66"/>
      <c r="N108" s="66"/>
      <c r="O108" s="66"/>
    </row>
    <row r="109" spans="1:15" x14ac:dyDescent="0.2">
      <c r="A109" s="68" t="s">
        <v>422</v>
      </c>
      <c r="B109" s="67" t="s">
        <v>423</v>
      </c>
      <c r="C109" s="64">
        <v>0</v>
      </c>
      <c r="D109" s="175"/>
      <c r="E109" s="175"/>
      <c r="F109" s="64">
        <v>0</v>
      </c>
      <c r="G109" s="173" t="e">
        <f t="shared" si="1"/>
        <v>#DIV/0!</v>
      </c>
      <c r="H109" s="177"/>
      <c r="I109" s="66"/>
      <c r="J109" s="66"/>
      <c r="K109" s="66"/>
      <c r="L109" s="66"/>
      <c r="M109" s="66"/>
      <c r="N109" s="66"/>
      <c r="O109" s="66"/>
    </row>
    <row r="110" spans="1:15" x14ac:dyDescent="0.2">
      <c r="A110" s="68" t="s">
        <v>424</v>
      </c>
      <c r="B110" s="67" t="s">
        <v>425</v>
      </c>
      <c r="C110" s="64">
        <v>0</v>
      </c>
      <c r="D110" s="175"/>
      <c r="E110" s="175"/>
      <c r="F110" s="64">
        <v>0</v>
      </c>
      <c r="G110" s="173" t="e">
        <f t="shared" si="1"/>
        <v>#DIV/0!</v>
      </c>
      <c r="H110" s="177"/>
      <c r="I110" s="66"/>
      <c r="J110" s="66"/>
      <c r="K110" s="66"/>
      <c r="L110" s="66"/>
      <c r="M110" s="66"/>
      <c r="N110" s="66"/>
      <c r="O110" s="66"/>
    </row>
    <row r="111" spans="1:15" x14ac:dyDescent="0.2">
      <c r="A111" s="68" t="s">
        <v>225</v>
      </c>
      <c r="B111" s="67" t="s">
        <v>226</v>
      </c>
      <c r="C111" s="64">
        <v>0</v>
      </c>
      <c r="D111" s="175"/>
      <c r="E111" s="175"/>
      <c r="F111" s="64">
        <v>0</v>
      </c>
      <c r="G111" s="173" t="e">
        <f t="shared" si="1"/>
        <v>#DIV/0!</v>
      </c>
      <c r="H111" s="177"/>
      <c r="I111" s="66"/>
      <c r="J111" s="66"/>
      <c r="K111" s="66"/>
      <c r="L111" s="66"/>
      <c r="M111" s="66"/>
      <c r="N111" s="66"/>
      <c r="O111" s="66"/>
    </row>
    <row r="112" spans="1:15" x14ac:dyDescent="0.2">
      <c r="A112" s="68" t="s">
        <v>426</v>
      </c>
      <c r="B112" s="67" t="s">
        <v>333</v>
      </c>
      <c r="C112" s="64">
        <v>0</v>
      </c>
      <c r="D112" s="175"/>
      <c r="E112" s="175"/>
      <c r="F112" s="64">
        <v>0</v>
      </c>
      <c r="G112" s="173" t="e">
        <f t="shared" si="1"/>
        <v>#DIV/0!</v>
      </c>
      <c r="H112" s="177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2" t="s">
        <v>57</v>
      </c>
      <c r="B113" s="193" t="s">
        <v>227</v>
      </c>
      <c r="C113" s="194">
        <f>+C114+C121+C148+C151+C154</f>
        <v>65453.210000000006</v>
      </c>
      <c r="D113" s="195">
        <f>+D114+D121+D148+D151+D154</f>
        <v>140845</v>
      </c>
      <c r="E113" s="195">
        <f>+E114+E121+E148+E151+E154</f>
        <v>140845</v>
      </c>
      <c r="F113" s="194">
        <f>+F114+F121+F148+F151+F154</f>
        <v>102031.42000000001</v>
      </c>
      <c r="G113" s="194">
        <f t="shared" si="1"/>
        <v>155.88451658826204</v>
      </c>
      <c r="H113" s="194">
        <f>+F113/D113*100</f>
        <v>72.442344421172223</v>
      </c>
      <c r="I113" s="165"/>
      <c r="J113" s="165"/>
      <c r="K113" s="165"/>
      <c r="L113" s="165"/>
      <c r="M113" s="165"/>
      <c r="N113" s="165"/>
      <c r="O113" s="165"/>
    </row>
    <row r="114" spans="1:15" x14ac:dyDescent="0.2">
      <c r="A114" s="180" t="s">
        <v>59</v>
      </c>
      <c r="B114" s="181" t="s">
        <v>228</v>
      </c>
      <c r="C114" s="177">
        <f>+C115+C117</f>
        <v>18747.8</v>
      </c>
      <c r="D114" s="160">
        <v>28750</v>
      </c>
      <c r="E114" s="160">
        <v>28750</v>
      </c>
      <c r="F114" s="177">
        <f>+F115+F117</f>
        <v>22168.86</v>
      </c>
      <c r="G114" s="177">
        <f t="shared" si="1"/>
        <v>118.24779440787721</v>
      </c>
      <c r="H114" s="177">
        <f>+F114/D114*100</f>
        <v>77.109078260869566</v>
      </c>
      <c r="I114" s="168"/>
      <c r="J114" s="168"/>
      <c r="K114" s="168"/>
      <c r="L114" s="168"/>
      <c r="M114" s="168"/>
      <c r="N114" s="168"/>
      <c r="O114" s="168"/>
    </row>
    <row r="115" spans="1:15" x14ac:dyDescent="0.2">
      <c r="A115" s="178" t="s">
        <v>427</v>
      </c>
      <c r="B115" s="179" t="s">
        <v>428</v>
      </c>
      <c r="C115" s="177">
        <f>+C116</f>
        <v>0</v>
      </c>
      <c r="D115" s="175"/>
      <c r="E115" s="175"/>
      <c r="F115" s="177">
        <f>+F116</f>
        <v>0</v>
      </c>
      <c r="G115" s="177" t="e">
        <f t="shared" si="1"/>
        <v>#DIV/0!</v>
      </c>
      <c r="H115" s="177"/>
      <c r="I115" s="168"/>
      <c r="J115" s="168"/>
      <c r="K115" s="168"/>
      <c r="L115" s="168"/>
      <c r="M115" s="168"/>
      <c r="N115" s="168"/>
      <c r="O115" s="168"/>
    </row>
    <row r="116" spans="1:15" x14ac:dyDescent="0.2">
      <c r="A116" s="68" t="s">
        <v>429</v>
      </c>
      <c r="B116" s="67" t="s">
        <v>344</v>
      </c>
      <c r="C116" s="64">
        <v>0</v>
      </c>
      <c r="D116" s="175"/>
      <c r="E116" s="175"/>
      <c r="F116" s="173">
        <v>0</v>
      </c>
      <c r="G116" s="173" t="e">
        <f t="shared" si="1"/>
        <v>#DIV/0!</v>
      </c>
      <c r="H116" s="177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8" t="s">
        <v>229</v>
      </c>
      <c r="B117" s="179" t="s">
        <v>230</v>
      </c>
      <c r="C117" s="177">
        <f>+C118+C119+C120</f>
        <v>18747.8</v>
      </c>
      <c r="D117" s="175"/>
      <c r="E117" s="175"/>
      <c r="F117" s="177">
        <f>+F118+F119+F120</f>
        <v>22168.86</v>
      </c>
      <c r="G117" s="177">
        <f t="shared" si="1"/>
        <v>118.24779440787721</v>
      </c>
      <c r="H117" s="177"/>
      <c r="I117" s="168"/>
      <c r="J117" s="168"/>
      <c r="K117" s="168"/>
      <c r="L117" s="168"/>
      <c r="M117" s="168"/>
      <c r="N117" s="168"/>
      <c r="O117" s="168"/>
    </row>
    <row r="118" spans="1:15" x14ac:dyDescent="0.2">
      <c r="A118" s="68" t="s">
        <v>231</v>
      </c>
      <c r="B118" s="67" t="s">
        <v>232</v>
      </c>
      <c r="C118" s="64">
        <v>0</v>
      </c>
      <c r="D118" s="175"/>
      <c r="E118" s="175"/>
      <c r="F118" s="173">
        <v>0</v>
      </c>
      <c r="G118" s="173" t="e">
        <f t="shared" si="1"/>
        <v>#DIV/0!</v>
      </c>
      <c r="H118" s="177"/>
      <c r="I118" s="66"/>
      <c r="J118" s="66"/>
      <c r="K118" s="66"/>
      <c r="L118" s="66"/>
      <c r="M118" s="66"/>
      <c r="N118" s="66"/>
      <c r="O118" s="66"/>
    </row>
    <row r="119" spans="1:15" x14ac:dyDescent="0.2">
      <c r="A119" s="68" t="s">
        <v>430</v>
      </c>
      <c r="B119" s="67" t="s">
        <v>348</v>
      </c>
      <c r="C119" s="64">
        <v>18747.8</v>
      </c>
      <c r="D119" s="175"/>
      <c r="E119" s="175"/>
      <c r="F119" s="173">
        <v>22168.86</v>
      </c>
      <c r="G119" s="173">
        <f t="shared" si="1"/>
        <v>118.24779440787721</v>
      </c>
      <c r="H119" s="177"/>
      <c r="I119" s="66"/>
      <c r="J119" s="66"/>
      <c r="K119" s="66"/>
      <c r="L119" s="66"/>
      <c r="M119" s="66"/>
      <c r="N119" s="66"/>
      <c r="O119" s="66"/>
    </row>
    <row r="120" spans="1:15" x14ac:dyDescent="0.2">
      <c r="A120" s="68" t="s">
        <v>431</v>
      </c>
      <c r="B120" s="67" t="s">
        <v>432</v>
      </c>
      <c r="C120" s="64">
        <v>0</v>
      </c>
      <c r="D120" s="175"/>
      <c r="E120" s="175"/>
      <c r="F120" s="173">
        <v>0</v>
      </c>
      <c r="G120" s="173" t="e">
        <f t="shared" si="1"/>
        <v>#DIV/0!</v>
      </c>
      <c r="H120" s="177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0" t="s">
        <v>233</v>
      </c>
      <c r="B121" s="181" t="s">
        <v>234</v>
      </c>
      <c r="C121" s="177">
        <f>+C122+C126+C134+C137+C141+C144</f>
        <v>46705.41</v>
      </c>
      <c r="D121" s="160">
        <v>105845</v>
      </c>
      <c r="E121" s="160">
        <v>105845</v>
      </c>
      <c r="F121" s="177">
        <f>+F122+F126+F134+F137+F141+F144</f>
        <v>79862.560000000012</v>
      </c>
      <c r="G121" s="177">
        <f t="shared" si="1"/>
        <v>170.99209706113277</v>
      </c>
      <c r="H121" s="177">
        <f>+F121/D121*100</f>
        <v>75.452369030185665</v>
      </c>
      <c r="I121" s="168"/>
      <c r="J121" s="168"/>
      <c r="K121" s="168"/>
      <c r="L121" s="168"/>
      <c r="M121" s="168"/>
      <c r="N121" s="168"/>
      <c r="O121" s="168"/>
    </row>
    <row r="122" spans="1:15" x14ac:dyDescent="0.2">
      <c r="A122" s="178" t="s">
        <v>235</v>
      </c>
      <c r="B122" s="179" t="s">
        <v>236</v>
      </c>
      <c r="C122" s="177">
        <f>SUM(C123:C125)</f>
        <v>0</v>
      </c>
      <c r="D122" s="175"/>
      <c r="E122" s="175"/>
      <c r="F122" s="177">
        <f>SUM(F123:F125)</f>
        <v>6497.5</v>
      </c>
      <c r="G122" s="177" t="e">
        <f t="shared" si="1"/>
        <v>#DIV/0!</v>
      </c>
      <c r="H122" s="177"/>
      <c r="I122" s="168"/>
      <c r="J122" s="168"/>
      <c r="K122" s="168"/>
      <c r="L122" s="168"/>
      <c r="M122" s="168"/>
      <c r="N122" s="168"/>
      <c r="O122" s="168"/>
    </row>
    <row r="123" spans="1:15" x14ac:dyDescent="0.2">
      <c r="A123" s="68" t="s">
        <v>433</v>
      </c>
      <c r="B123" s="67" t="s">
        <v>354</v>
      </c>
      <c r="C123" s="64">
        <v>0</v>
      </c>
      <c r="D123" s="175"/>
      <c r="E123" s="175"/>
      <c r="F123" s="173">
        <v>0</v>
      </c>
      <c r="G123" s="173" t="e">
        <f t="shared" si="1"/>
        <v>#DIV/0!</v>
      </c>
      <c r="H123" s="177"/>
      <c r="I123" s="66"/>
      <c r="J123" s="66"/>
      <c r="K123" s="66"/>
      <c r="L123" s="66"/>
      <c r="M123" s="66"/>
      <c r="N123" s="66"/>
      <c r="O123" s="66"/>
    </row>
    <row r="124" spans="1:15" x14ac:dyDescent="0.2">
      <c r="A124" s="68" t="s">
        <v>237</v>
      </c>
      <c r="B124" s="67" t="s">
        <v>238</v>
      </c>
      <c r="C124" s="64">
        <v>0</v>
      </c>
      <c r="D124" s="175"/>
      <c r="E124" s="175"/>
      <c r="F124" s="173">
        <v>6497.5</v>
      </c>
      <c r="G124" s="173" t="e">
        <f t="shared" si="1"/>
        <v>#DIV/0!</v>
      </c>
      <c r="H124" s="177"/>
      <c r="I124" s="66"/>
      <c r="J124" s="66"/>
      <c r="K124" s="66"/>
      <c r="L124" s="66"/>
      <c r="M124" s="66"/>
      <c r="N124" s="66"/>
      <c r="O124" s="66"/>
    </row>
    <row r="125" spans="1:15" x14ac:dyDescent="0.2">
      <c r="A125" s="68" t="s">
        <v>434</v>
      </c>
      <c r="B125" s="67" t="s">
        <v>435</v>
      </c>
      <c r="C125" s="64">
        <v>0</v>
      </c>
      <c r="D125" s="175"/>
      <c r="E125" s="175"/>
      <c r="F125" s="173">
        <v>0</v>
      </c>
      <c r="G125" s="173" t="e">
        <f t="shared" si="1"/>
        <v>#DIV/0!</v>
      </c>
      <c r="H125" s="177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8" t="s">
        <v>239</v>
      </c>
      <c r="B126" s="179" t="s">
        <v>240</v>
      </c>
      <c r="C126" s="177">
        <f>SUM(C127:C133)</f>
        <v>34519.94</v>
      </c>
      <c r="D126" s="175"/>
      <c r="E126" s="175"/>
      <c r="F126" s="177">
        <f>SUM(F127:F133)</f>
        <v>38095.620000000003</v>
      </c>
      <c r="G126" s="177">
        <f t="shared" si="1"/>
        <v>110.3583030561467</v>
      </c>
      <c r="H126" s="177"/>
      <c r="I126" s="168"/>
      <c r="J126" s="168"/>
      <c r="K126" s="168"/>
      <c r="L126" s="168"/>
      <c r="M126" s="168"/>
      <c r="N126" s="168"/>
      <c r="O126" s="168"/>
    </row>
    <row r="127" spans="1:15" x14ac:dyDescent="0.2">
      <c r="A127" s="68" t="s">
        <v>241</v>
      </c>
      <c r="B127" s="67" t="s">
        <v>242</v>
      </c>
      <c r="C127" s="64">
        <v>24059.68</v>
      </c>
      <c r="D127" s="175"/>
      <c r="E127" s="175"/>
      <c r="F127" s="173">
        <v>23298.93</v>
      </c>
      <c r="G127" s="173">
        <f t="shared" si="1"/>
        <v>96.838070996787991</v>
      </c>
      <c r="H127" s="177"/>
      <c r="I127" s="66"/>
      <c r="J127" s="66"/>
      <c r="K127" s="66"/>
      <c r="L127" s="66"/>
      <c r="M127" s="66"/>
      <c r="N127" s="66"/>
      <c r="O127" s="66"/>
    </row>
    <row r="128" spans="1:15" x14ac:dyDescent="0.2">
      <c r="A128" s="68" t="s">
        <v>436</v>
      </c>
      <c r="B128" s="67" t="s">
        <v>437</v>
      </c>
      <c r="C128" s="64">
        <v>3374.2</v>
      </c>
      <c r="D128" s="175"/>
      <c r="E128" s="175"/>
      <c r="F128" s="173">
        <v>5421.61</v>
      </c>
      <c r="G128" s="173">
        <f t="shared" si="1"/>
        <v>160.67838302412423</v>
      </c>
      <c r="H128" s="177"/>
      <c r="I128" s="66"/>
      <c r="J128" s="66"/>
      <c r="K128" s="66"/>
      <c r="L128" s="66"/>
      <c r="M128" s="66"/>
      <c r="N128" s="66"/>
      <c r="O128" s="66"/>
    </row>
    <row r="129" spans="1:15" x14ac:dyDescent="0.2">
      <c r="A129" s="68" t="s">
        <v>438</v>
      </c>
      <c r="B129" s="67" t="s">
        <v>439</v>
      </c>
      <c r="C129" s="64">
        <v>4380.0600000000004</v>
      </c>
      <c r="D129" s="175"/>
      <c r="E129" s="175"/>
      <c r="F129" s="173">
        <v>2769.59</v>
      </c>
      <c r="G129" s="173">
        <f t="shared" si="1"/>
        <v>63.231782213029042</v>
      </c>
      <c r="H129" s="177"/>
      <c r="I129" s="66"/>
      <c r="J129" s="66"/>
      <c r="K129" s="66"/>
      <c r="L129" s="66"/>
      <c r="M129" s="66"/>
      <c r="N129" s="66"/>
      <c r="O129" s="66"/>
    </row>
    <row r="130" spans="1:15" x14ac:dyDescent="0.2">
      <c r="A130" s="68" t="s">
        <v>243</v>
      </c>
      <c r="B130" s="67" t="s">
        <v>244</v>
      </c>
      <c r="C130" s="64">
        <v>0</v>
      </c>
      <c r="D130" s="175"/>
      <c r="E130" s="175"/>
      <c r="F130" s="173">
        <v>0</v>
      </c>
      <c r="G130" s="173" t="e">
        <f t="shared" si="1"/>
        <v>#DIV/0!</v>
      </c>
      <c r="H130" s="177"/>
      <c r="I130" s="66"/>
      <c r="J130" s="66"/>
      <c r="K130" s="66"/>
      <c r="L130" s="66"/>
      <c r="M130" s="66"/>
      <c r="N130" s="66"/>
      <c r="O130" s="66"/>
    </row>
    <row r="131" spans="1:15" x14ac:dyDescent="0.2">
      <c r="A131" s="68" t="s">
        <v>440</v>
      </c>
      <c r="B131" s="67" t="s">
        <v>441</v>
      </c>
      <c r="C131" s="64">
        <v>2332.5</v>
      </c>
      <c r="D131" s="175"/>
      <c r="E131" s="175"/>
      <c r="F131" s="173">
        <v>0</v>
      </c>
      <c r="G131" s="173">
        <f t="shared" si="1"/>
        <v>0</v>
      </c>
      <c r="H131" s="177"/>
      <c r="I131" s="66"/>
      <c r="J131" s="66"/>
      <c r="K131" s="66"/>
      <c r="L131" s="66"/>
      <c r="M131" s="66"/>
      <c r="N131" s="66"/>
      <c r="O131" s="66"/>
    </row>
    <row r="132" spans="1:15" x14ac:dyDescent="0.2">
      <c r="A132" s="68" t="s">
        <v>442</v>
      </c>
      <c r="B132" s="67" t="s">
        <v>360</v>
      </c>
      <c r="C132" s="64">
        <v>0</v>
      </c>
      <c r="D132" s="175"/>
      <c r="E132" s="175"/>
      <c r="F132" s="173">
        <v>0</v>
      </c>
      <c r="G132" s="173" t="e">
        <f t="shared" si="1"/>
        <v>#DIV/0!</v>
      </c>
      <c r="H132" s="177"/>
      <c r="I132" s="66"/>
      <c r="J132" s="66"/>
      <c r="K132" s="66"/>
      <c r="L132" s="66"/>
      <c r="M132" s="66"/>
      <c r="N132" s="66"/>
      <c r="O132" s="66"/>
    </row>
    <row r="133" spans="1:15" x14ac:dyDescent="0.2">
      <c r="A133" s="68" t="s">
        <v>443</v>
      </c>
      <c r="B133" s="67" t="s">
        <v>362</v>
      </c>
      <c r="C133" s="64">
        <v>373.5</v>
      </c>
      <c r="D133" s="175"/>
      <c r="E133" s="175"/>
      <c r="F133" s="173">
        <v>6605.49</v>
      </c>
      <c r="G133" s="173">
        <f t="shared" si="1"/>
        <v>1768.5381526104418</v>
      </c>
      <c r="H133" s="177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8" t="s">
        <v>444</v>
      </c>
      <c r="B134" s="179" t="s">
        <v>445</v>
      </c>
      <c r="C134" s="177">
        <f>+C135+C136</f>
        <v>0</v>
      </c>
      <c r="D134" s="175"/>
      <c r="E134" s="175"/>
      <c r="F134" s="177">
        <f>+F135+F136</f>
        <v>32890.82</v>
      </c>
      <c r="G134" s="177" t="e">
        <f t="shared" si="1"/>
        <v>#DIV/0!</v>
      </c>
      <c r="H134" s="177"/>
      <c r="I134" s="168"/>
      <c r="J134" s="168"/>
      <c r="K134" s="168"/>
      <c r="L134" s="168"/>
      <c r="M134" s="168"/>
      <c r="N134" s="168"/>
      <c r="O134" s="168"/>
    </row>
    <row r="135" spans="1:15" x14ac:dyDescent="0.2">
      <c r="A135" s="68" t="s">
        <v>446</v>
      </c>
      <c r="B135" s="67" t="s">
        <v>366</v>
      </c>
      <c r="C135" s="64">
        <v>0</v>
      </c>
      <c r="D135" s="175"/>
      <c r="E135" s="175"/>
      <c r="F135" s="173">
        <v>30913.66</v>
      </c>
      <c r="G135" s="173" t="e">
        <f t="shared" si="1"/>
        <v>#DIV/0!</v>
      </c>
      <c r="H135" s="177"/>
      <c r="I135" s="66"/>
      <c r="J135" s="66"/>
      <c r="K135" s="66"/>
      <c r="L135" s="66"/>
      <c r="M135" s="66"/>
      <c r="N135" s="66"/>
      <c r="O135" s="66"/>
    </row>
    <row r="136" spans="1:15" x14ac:dyDescent="0.2">
      <c r="A136" s="68" t="s">
        <v>447</v>
      </c>
      <c r="B136" s="67" t="s">
        <v>368</v>
      </c>
      <c r="C136" s="64">
        <v>0</v>
      </c>
      <c r="D136" s="175"/>
      <c r="E136" s="175"/>
      <c r="F136" s="173">
        <v>1977.16</v>
      </c>
      <c r="G136" s="173" t="e">
        <f t="shared" si="1"/>
        <v>#DIV/0!</v>
      </c>
      <c r="H136" s="177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8" t="s">
        <v>448</v>
      </c>
      <c r="B137" s="179" t="s">
        <v>449</v>
      </c>
      <c r="C137" s="177">
        <f>+C138+C139+C140</f>
        <v>2832.31</v>
      </c>
      <c r="D137" s="175"/>
      <c r="E137" s="175"/>
      <c r="F137" s="177">
        <f>+F138+F139+F140</f>
        <v>581.91</v>
      </c>
      <c r="G137" s="177">
        <f t="shared" ref="G137:G157" si="2">+F137/C137*100</f>
        <v>20.545420522471055</v>
      </c>
      <c r="H137" s="177"/>
      <c r="I137" s="168"/>
      <c r="J137" s="168"/>
      <c r="K137" s="168"/>
      <c r="L137" s="168"/>
      <c r="M137" s="168"/>
      <c r="N137" s="168"/>
      <c r="O137" s="168"/>
    </row>
    <row r="138" spans="1:15" x14ac:dyDescent="0.2">
      <c r="A138" s="68" t="s">
        <v>450</v>
      </c>
      <c r="B138" s="67" t="s">
        <v>451</v>
      </c>
      <c r="C138" s="64">
        <v>2832.31</v>
      </c>
      <c r="D138" s="175"/>
      <c r="E138" s="175"/>
      <c r="F138" s="173">
        <v>581.91</v>
      </c>
      <c r="G138" s="173">
        <f t="shared" si="2"/>
        <v>20.545420522471055</v>
      </c>
      <c r="H138" s="177"/>
      <c r="I138" s="66"/>
      <c r="J138" s="66"/>
      <c r="K138" s="66"/>
      <c r="L138" s="66"/>
      <c r="M138" s="66"/>
      <c r="N138" s="66"/>
      <c r="O138" s="66"/>
    </row>
    <row r="139" spans="1:15" x14ac:dyDescent="0.2">
      <c r="A139" s="68" t="s">
        <v>452</v>
      </c>
      <c r="B139" s="67" t="s">
        <v>453</v>
      </c>
      <c r="C139" s="64">
        <v>0</v>
      </c>
      <c r="D139" s="175"/>
      <c r="E139" s="175"/>
      <c r="F139" s="173">
        <v>0</v>
      </c>
      <c r="G139" s="173" t="e">
        <f t="shared" si="2"/>
        <v>#DIV/0!</v>
      </c>
      <c r="H139" s="177"/>
      <c r="I139" s="66"/>
      <c r="J139" s="66"/>
      <c r="K139" s="66"/>
      <c r="L139" s="66"/>
      <c r="M139" s="66"/>
      <c r="N139" s="66"/>
      <c r="O139" s="66"/>
    </row>
    <row r="140" spans="1:15" x14ac:dyDescent="0.2">
      <c r="A140" s="68" t="s">
        <v>454</v>
      </c>
      <c r="B140" s="67" t="s">
        <v>455</v>
      </c>
      <c r="C140" s="64">
        <v>0</v>
      </c>
      <c r="D140" s="175"/>
      <c r="E140" s="175"/>
      <c r="F140" s="173">
        <v>0</v>
      </c>
      <c r="G140" s="173" t="e">
        <f t="shared" si="2"/>
        <v>#DIV/0!</v>
      </c>
      <c r="H140" s="177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8" t="s">
        <v>456</v>
      </c>
      <c r="B141" s="179" t="s">
        <v>457</v>
      </c>
      <c r="C141" s="177">
        <f>+C142+C143</f>
        <v>0</v>
      </c>
      <c r="D141" s="175"/>
      <c r="E141" s="175"/>
      <c r="F141" s="177">
        <f>+F142+F143</f>
        <v>0</v>
      </c>
      <c r="G141" s="177" t="e">
        <f t="shared" si="2"/>
        <v>#DIV/0!</v>
      </c>
      <c r="H141" s="177"/>
      <c r="I141" s="168"/>
      <c r="J141" s="168"/>
      <c r="K141" s="168"/>
      <c r="L141" s="168"/>
      <c r="M141" s="168"/>
      <c r="N141" s="168"/>
      <c r="O141" s="168"/>
    </row>
    <row r="142" spans="1:15" x14ac:dyDescent="0.2">
      <c r="A142" s="68" t="s">
        <v>458</v>
      </c>
      <c r="B142" s="67" t="s">
        <v>459</v>
      </c>
      <c r="C142" s="64">
        <v>0</v>
      </c>
      <c r="D142" s="175"/>
      <c r="E142" s="175"/>
      <c r="F142" s="64">
        <v>0</v>
      </c>
      <c r="G142" s="173" t="e">
        <f t="shared" si="2"/>
        <v>#DIV/0!</v>
      </c>
      <c r="H142" s="177"/>
      <c r="I142" s="66"/>
      <c r="J142" s="66"/>
      <c r="K142" s="66"/>
      <c r="L142" s="66"/>
      <c r="M142" s="66"/>
      <c r="N142" s="66"/>
      <c r="O142" s="66"/>
    </row>
    <row r="143" spans="1:15" x14ac:dyDescent="0.2">
      <c r="A143" s="68" t="s">
        <v>460</v>
      </c>
      <c r="B143" s="67" t="s">
        <v>372</v>
      </c>
      <c r="C143" s="64">
        <v>0</v>
      </c>
      <c r="D143" s="175"/>
      <c r="E143" s="175"/>
      <c r="F143" s="64">
        <v>0</v>
      </c>
      <c r="G143" s="173" t="e">
        <f t="shared" si="2"/>
        <v>#DIV/0!</v>
      </c>
      <c r="H143" s="177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8" t="s">
        <v>245</v>
      </c>
      <c r="B144" s="179" t="s">
        <v>246</v>
      </c>
      <c r="C144" s="177">
        <f>+C145+C146+C147</f>
        <v>9353.16</v>
      </c>
      <c r="D144" s="175"/>
      <c r="E144" s="175"/>
      <c r="F144" s="177">
        <f>+F145+F146+F147</f>
        <v>1796.71</v>
      </c>
      <c r="G144" s="177">
        <f t="shared" si="2"/>
        <v>19.209657484743126</v>
      </c>
      <c r="H144" s="177"/>
      <c r="I144" s="168"/>
      <c r="J144" s="168"/>
      <c r="K144" s="168"/>
      <c r="L144" s="168"/>
      <c r="M144" s="168"/>
      <c r="N144" s="168"/>
      <c r="O144" s="168"/>
    </row>
    <row r="145" spans="1:15" x14ac:dyDescent="0.2">
      <c r="A145" s="68" t="s">
        <v>247</v>
      </c>
      <c r="B145" s="67" t="s">
        <v>248</v>
      </c>
      <c r="C145" s="64">
        <v>9353.16</v>
      </c>
      <c r="D145" s="175"/>
      <c r="E145" s="175"/>
      <c r="F145" s="173">
        <v>1796.71</v>
      </c>
      <c r="G145" s="173">
        <f t="shared" si="2"/>
        <v>19.209657484743126</v>
      </c>
      <c r="H145" s="177"/>
      <c r="I145" s="66"/>
      <c r="J145" s="66"/>
      <c r="K145" s="66"/>
      <c r="L145" s="66"/>
      <c r="M145" s="66"/>
      <c r="N145" s="66"/>
      <c r="O145" s="66"/>
    </row>
    <row r="146" spans="1:15" x14ac:dyDescent="0.2">
      <c r="A146" s="68" t="s">
        <v>461</v>
      </c>
      <c r="B146" s="67" t="s">
        <v>462</v>
      </c>
      <c r="C146" s="64">
        <v>0</v>
      </c>
      <c r="D146" s="175"/>
      <c r="E146" s="175"/>
      <c r="F146" s="173">
        <v>0</v>
      </c>
      <c r="G146" s="173" t="e">
        <f t="shared" si="2"/>
        <v>#DIV/0!</v>
      </c>
      <c r="H146" s="177"/>
      <c r="I146" s="66"/>
      <c r="J146" s="66"/>
      <c r="K146" s="66"/>
      <c r="L146" s="66"/>
      <c r="M146" s="66"/>
      <c r="N146" s="66"/>
      <c r="O146" s="66"/>
    </row>
    <row r="147" spans="1:15" x14ac:dyDescent="0.2">
      <c r="A147" s="68" t="s">
        <v>463</v>
      </c>
      <c r="B147" s="67" t="s">
        <v>464</v>
      </c>
      <c r="C147" s="64">
        <v>0</v>
      </c>
      <c r="D147" s="175"/>
      <c r="E147" s="175"/>
      <c r="F147" s="173">
        <v>0</v>
      </c>
      <c r="G147" s="173" t="e">
        <f t="shared" si="2"/>
        <v>#DIV/0!</v>
      </c>
      <c r="H147" s="177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0" t="s">
        <v>60</v>
      </c>
      <c r="B148" s="181" t="s">
        <v>465</v>
      </c>
      <c r="C148" s="177">
        <f>+C149</f>
        <v>0</v>
      </c>
      <c r="D148" s="160">
        <v>0</v>
      </c>
      <c r="E148" s="160">
        <v>0</v>
      </c>
      <c r="F148" s="177">
        <f>+F149</f>
        <v>0</v>
      </c>
      <c r="G148" s="177" t="e">
        <f t="shared" si="2"/>
        <v>#DIV/0!</v>
      </c>
      <c r="H148" s="177" t="e">
        <f>+F148/D148*100</f>
        <v>#DIV/0!</v>
      </c>
      <c r="I148" s="168"/>
      <c r="J148" s="168"/>
      <c r="K148" s="168"/>
      <c r="L148" s="168"/>
      <c r="M148" s="168"/>
      <c r="N148" s="168"/>
      <c r="O148" s="168"/>
    </row>
    <row r="149" spans="1:15" x14ac:dyDescent="0.2">
      <c r="A149" s="178" t="s">
        <v>466</v>
      </c>
      <c r="B149" s="179" t="s">
        <v>467</v>
      </c>
      <c r="C149" s="177">
        <f>+C150</f>
        <v>0</v>
      </c>
      <c r="D149" s="175"/>
      <c r="E149" s="175"/>
      <c r="F149" s="177">
        <f>+F150</f>
        <v>0</v>
      </c>
      <c r="G149" s="177" t="e">
        <f t="shared" si="2"/>
        <v>#DIV/0!</v>
      </c>
      <c r="H149" s="177"/>
      <c r="I149" s="168"/>
      <c r="J149" s="168"/>
      <c r="K149" s="168"/>
      <c r="L149" s="168"/>
      <c r="M149" s="168"/>
      <c r="N149" s="168"/>
      <c r="O149" s="168"/>
    </row>
    <row r="150" spans="1:15" x14ac:dyDescent="0.2">
      <c r="A150" s="68" t="s">
        <v>468</v>
      </c>
      <c r="B150" s="67" t="s">
        <v>469</v>
      </c>
      <c r="C150" s="173">
        <v>0</v>
      </c>
      <c r="D150" s="175"/>
      <c r="E150" s="175"/>
      <c r="F150" s="173">
        <v>0</v>
      </c>
      <c r="G150" s="173" t="e">
        <f t="shared" si="2"/>
        <v>#DIV/0!</v>
      </c>
      <c r="H150" s="177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0" t="s">
        <v>470</v>
      </c>
      <c r="B151" s="181" t="s">
        <v>471</v>
      </c>
      <c r="C151" s="177">
        <f>+C152</f>
        <v>0</v>
      </c>
      <c r="D151" s="160">
        <v>0</v>
      </c>
      <c r="E151" s="160">
        <v>0</v>
      </c>
      <c r="F151" s="177">
        <f>+F152</f>
        <v>0</v>
      </c>
      <c r="G151" s="177" t="e">
        <f t="shared" si="2"/>
        <v>#DIV/0!</v>
      </c>
      <c r="H151" s="177" t="e">
        <f>+F151/D151*100</f>
        <v>#DIV/0!</v>
      </c>
      <c r="I151" s="168"/>
      <c r="J151" s="168"/>
      <c r="K151" s="168"/>
      <c r="L151" s="168"/>
      <c r="M151" s="168"/>
      <c r="N151" s="168"/>
      <c r="O151" s="168"/>
    </row>
    <row r="152" spans="1:15" x14ac:dyDescent="0.2">
      <c r="A152" s="178" t="s">
        <v>472</v>
      </c>
      <c r="B152" s="179" t="s">
        <v>473</v>
      </c>
      <c r="C152" s="177">
        <f>+C153</f>
        <v>0</v>
      </c>
      <c r="D152" s="175"/>
      <c r="E152" s="175"/>
      <c r="F152" s="177">
        <f>+F153</f>
        <v>0</v>
      </c>
      <c r="G152" s="177" t="e">
        <f t="shared" si="2"/>
        <v>#DIV/0!</v>
      </c>
      <c r="H152" s="177"/>
      <c r="I152" s="168"/>
      <c r="J152" s="168"/>
      <c r="K152" s="168"/>
      <c r="L152" s="168"/>
      <c r="M152" s="168"/>
      <c r="N152" s="168"/>
      <c r="O152" s="168"/>
    </row>
    <row r="153" spans="1:15" x14ac:dyDescent="0.2">
      <c r="A153" s="68" t="s">
        <v>474</v>
      </c>
      <c r="B153" s="67" t="s">
        <v>475</v>
      </c>
      <c r="C153" s="64">
        <v>0</v>
      </c>
      <c r="D153" s="175"/>
      <c r="E153" s="175"/>
      <c r="F153" s="64">
        <v>0</v>
      </c>
      <c r="G153" s="173" t="e">
        <f t="shared" si="2"/>
        <v>#DIV/0!</v>
      </c>
      <c r="H153" s="177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0" t="s">
        <v>249</v>
      </c>
      <c r="B154" s="181" t="s">
        <v>250</v>
      </c>
      <c r="C154" s="177">
        <f>+C155+C157+C159+C161</f>
        <v>0</v>
      </c>
      <c r="D154" s="160">
        <v>6250</v>
      </c>
      <c r="E154" s="160">
        <v>6250</v>
      </c>
      <c r="F154" s="177">
        <f>+F155+F157+F159+F161</f>
        <v>0</v>
      </c>
      <c r="G154" s="177" t="e">
        <f t="shared" si="2"/>
        <v>#DIV/0!</v>
      </c>
      <c r="H154" s="177">
        <f>+F154/D154*100</f>
        <v>0</v>
      </c>
      <c r="I154" s="168"/>
      <c r="J154" s="168"/>
      <c r="K154" s="168"/>
      <c r="L154" s="168"/>
      <c r="M154" s="168"/>
      <c r="N154" s="168"/>
      <c r="O154" s="168"/>
    </row>
    <row r="155" spans="1:15" x14ac:dyDescent="0.2">
      <c r="A155" s="178" t="s">
        <v>251</v>
      </c>
      <c r="B155" s="179" t="s">
        <v>252</v>
      </c>
      <c r="C155" s="177">
        <f>+C156</f>
        <v>0</v>
      </c>
      <c r="D155" s="175"/>
      <c r="E155" s="175"/>
      <c r="F155" s="177">
        <f>+F156</f>
        <v>0</v>
      </c>
      <c r="G155" s="177" t="e">
        <f t="shared" si="2"/>
        <v>#DIV/0!</v>
      </c>
      <c r="H155" s="177"/>
      <c r="I155" s="168"/>
      <c r="J155" s="168"/>
      <c r="K155" s="168"/>
      <c r="L155" s="168"/>
      <c r="M155" s="168"/>
      <c r="N155" s="168"/>
      <c r="O155" s="168"/>
    </row>
    <row r="156" spans="1:15" x14ac:dyDescent="0.2">
      <c r="A156" s="68" t="s">
        <v>253</v>
      </c>
      <c r="B156" s="67" t="s">
        <v>252</v>
      </c>
      <c r="C156" s="64">
        <v>0</v>
      </c>
      <c r="D156" s="175"/>
      <c r="E156" s="175"/>
      <c r="F156" s="64">
        <v>0</v>
      </c>
      <c r="G156" s="173" t="e">
        <f t="shared" si="2"/>
        <v>#DIV/0!</v>
      </c>
      <c r="H156" s="177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8" t="s">
        <v>476</v>
      </c>
      <c r="B157" s="179" t="s">
        <v>477</v>
      </c>
      <c r="C157" s="177">
        <f>+C158</f>
        <v>0</v>
      </c>
      <c r="D157" s="175"/>
      <c r="E157" s="175"/>
      <c r="F157" s="177">
        <f>+F158</f>
        <v>0</v>
      </c>
      <c r="G157" s="177" t="e">
        <f t="shared" si="2"/>
        <v>#DIV/0!</v>
      </c>
      <c r="H157" s="177"/>
      <c r="I157" s="168"/>
      <c r="J157" s="168"/>
      <c r="K157" s="168"/>
      <c r="L157" s="168"/>
      <c r="M157" s="168"/>
      <c r="N157" s="168"/>
      <c r="O157" s="168"/>
    </row>
    <row r="158" spans="1:15" x14ac:dyDescent="0.2">
      <c r="A158" s="68" t="s">
        <v>478</v>
      </c>
      <c r="B158" s="67" t="s">
        <v>477</v>
      </c>
      <c r="C158" s="64">
        <v>0</v>
      </c>
      <c r="D158" s="175"/>
      <c r="E158" s="175"/>
      <c r="F158" s="64">
        <v>0</v>
      </c>
      <c r="G158" s="173" t="e">
        <f>+F158/C158*100</f>
        <v>#DIV/0!</v>
      </c>
      <c r="H158" s="177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8" t="s">
        <v>479</v>
      </c>
      <c r="B159" s="179" t="s">
        <v>480</v>
      </c>
      <c r="C159" s="177">
        <f>+C160</f>
        <v>0</v>
      </c>
      <c r="D159" s="175"/>
      <c r="E159" s="175"/>
      <c r="F159" s="177">
        <f>+F160</f>
        <v>0</v>
      </c>
      <c r="G159" s="177" t="e">
        <f>+F159/C159*100</f>
        <v>#DIV/0!</v>
      </c>
      <c r="H159" s="177"/>
      <c r="I159" s="168"/>
      <c r="J159" s="168"/>
      <c r="K159" s="168"/>
      <c r="L159" s="168"/>
      <c r="M159" s="168"/>
      <c r="N159" s="168"/>
      <c r="O159" s="168"/>
    </row>
    <row r="160" spans="1:15" x14ac:dyDescent="0.2">
      <c r="A160" s="68" t="s">
        <v>481</v>
      </c>
      <c r="B160" s="67" t="s">
        <v>480</v>
      </c>
      <c r="C160" s="64">
        <v>0</v>
      </c>
      <c r="D160" s="175"/>
      <c r="E160" s="175"/>
      <c r="F160" s="64">
        <v>0</v>
      </c>
      <c r="G160" s="173" t="e">
        <f>+F160/C160*100</f>
        <v>#DIV/0!</v>
      </c>
      <c r="H160" s="177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8" t="s">
        <v>482</v>
      </c>
      <c r="B161" s="179" t="s">
        <v>483</v>
      </c>
      <c r="C161" s="177">
        <f>+C162</f>
        <v>0</v>
      </c>
      <c r="D161" s="175"/>
      <c r="E161" s="175"/>
      <c r="F161" s="177">
        <f>+F162</f>
        <v>0</v>
      </c>
      <c r="G161" s="177" t="e">
        <f>+F161/C161*100</f>
        <v>#DIV/0!</v>
      </c>
      <c r="H161" s="177"/>
      <c r="I161" s="168"/>
      <c r="J161" s="168"/>
      <c r="K161" s="168"/>
      <c r="L161" s="168"/>
      <c r="M161" s="168"/>
      <c r="N161" s="168"/>
      <c r="O161" s="168"/>
    </row>
    <row r="162" spans="1:15" x14ac:dyDescent="0.2">
      <c r="A162" s="68" t="s">
        <v>484</v>
      </c>
      <c r="B162" s="67" t="s">
        <v>483</v>
      </c>
      <c r="C162" s="64">
        <v>0</v>
      </c>
      <c r="D162" s="175"/>
      <c r="E162" s="175"/>
      <c r="F162" s="64">
        <v>0</v>
      </c>
      <c r="G162" s="173" t="e">
        <f>+F162/C162*100</f>
        <v>#DIV/0!</v>
      </c>
      <c r="H162" s="177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8"/>
    </row>
    <row r="166" spans="1:15" x14ac:dyDescent="0.2">
      <c r="A166" s="32" t="s">
        <v>544</v>
      </c>
    </row>
    <row r="167" spans="1:15" x14ac:dyDescent="0.2">
      <c r="A167" s="32" t="s">
        <v>538</v>
      </c>
    </row>
    <row r="168" spans="1:15" x14ac:dyDescent="0.2">
      <c r="A168" s="32" t="s">
        <v>539</v>
      </c>
    </row>
    <row r="169" spans="1:15" x14ac:dyDescent="0.2">
      <c r="A169" s="32" t="s">
        <v>540</v>
      </c>
    </row>
    <row r="170" spans="1:15" x14ac:dyDescent="0.2">
      <c r="A170" s="32" t="s">
        <v>541</v>
      </c>
    </row>
    <row r="171" spans="1:15" x14ac:dyDescent="0.2">
      <c r="A171" s="32" t="s">
        <v>542</v>
      </c>
    </row>
    <row r="172" spans="1:15" x14ac:dyDescent="0.2">
      <c r="A172" s="32" t="s">
        <v>543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43" sqref="F43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71"/>
      <c r="M1" s="71"/>
      <c r="N1" s="71"/>
      <c r="O1" s="71"/>
    </row>
    <row r="2" spans="1:15" ht="15.75" hidden="1" customHeight="1" x14ac:dyDescent="0.2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71"/>
      <c r="M2" s="71"/>
      <c r="N2" s="71"/>
      <c r="O2" s="71"/>
    </row>
    <row r="3" spans="1:15" ht="18" hidden="1" customHeight="1" x14ac:dyDescent="0.2">
      <c r="A3" s="82"/>
      <c r="B3" s="82"/>
      <c r="C3" s="82"/>
      <c r="D3" s="82"/>
      <c r="E3" s="82"/>
      <c r="F3" s="82"/>
      <c r="G3" s="82"/>
      <c r="H3" s="82"/>
      <c r="I3" s="83"/>
      <c r="J3" s="83"/>
      <c r="K3" s="83"/>
      <c r="L3" s="71"/>
      <c r="M3" s="71"/>
      <c r="N3" s="71"/>
      <c r="O3" s="71"/>
    </row>
    <row r="4" spans="1:15" ht="18" x14ac:dyDescent="0.2">
      <c r="A4" s="82"/>
      <c r="B4" s="82"/>
      <c r="C4" s="82"/>
      <c r="D4" s="82"/>
      <c r="E4" s="82"/>
      <c r="F4" s="82"/>
      <c r="G4" s="82"/>
      <c r="H4" s="82"/>
      <c r="I4" s="83"/>
      <c r="J4" s="83"/>
      <c r="K4" s="83"/>
      <c r="L4" s="71"/>
      <c r="M4" s="71"/>
      <c r="N4" s="71"/>
      <c r="O4" s="71"/>
    </row>
    <row r="5" spans="1:15" ht="15.75" customHeight="1" x14ac:dyDescent="0.2">
      <c r="A5" s="402" t="s">
        <v>53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71"/>
      <c r="M5" s="71"/>
      <c r="N5" s="71"/>
      <c r="O5" s="71"/>
    </row>
    <row r="6" spans="1:15" ht="18" x14ac:dyDescent="0.2">
      <c r="A6" s="82"/>
      <c r="B6" s="82"/>
      <c r="C6" s="82"/>
      <c r="D6" s="82"/>
      <c r="E6" s="82"/>
      <c r="F6" s="82"/>
      <c r="G6" s="82"/>
      <c r="H6" s="82"/>
      <c r="I6" s="83"/>
      <c r="J6" s="83"/>
      <c r="K6" s="83"/>
      <c r="L6" s="71"/>
      <c r="M6" s="71"/>
      <c r="N6" s="71"/>
      <c r="O6" s="71"/>
    </row>
    <row r="7" spans="1:15" s="33" customFormat="1" ht="57" x14ac:dyDescent="0.25">
      <c r="A7" s="401" t="s">
        <v>3</v>
      </c>
      <c r="B7" s="401"/>
      <c r="C7" s="161" t="s">
        <v>589</v>
      </c>
      <c r="D7" s="161" t="s">
        <v>560</v>
      </c>
      <c r="E7" s="161" t="s">
        <v>561</v>
      </c>
      <c r="F7" s="161" t="s">
        <v>590</v>
      </c>
      <c r="G7" s="85" t="s">
        <v>260</v>
      </c>
      <c r="H7" s="85" t="s">
        <v>261</v>
      </c>
      <c r="I7" s="72"/>
      <c r="J7" s="72"/>
      <c r="K7" s="72"/>
      <c r="L7" s="72"/>
      <c r="M7" s="72"/>
      <c r="N7" s="72"/>
      <c r="O7" s="72"/>
    </row>
    <row r="8" spans="1:15" s="34" customFormat="1" ht="12.75" customHeight="1" x14ac:dyDescent="0.2">
      <c r="A8" s="400">
        <v>1</v>
      </c>
      <c r="B8" s="400"/>
      <c r="C8" s="86">
        <v>2</v>
      </c>
      <c r="D8" s="86">
        <v>3</v>
      </c>
      <c r="E8" s="86">
        <v>4.3333333333333304</v>
      </c>
      <c r="F8" s="86">
        <v>5.0833333333333304</v>
      </c>
      <c r="G8" s="86">
        <v>6</v>
      </c>
      <c r="H8" s="86">
        <v>7</v>
      </c>
      <c r="I8" s="75"/>
      <c r="J8" s="75"/>
      <c r="K8" s="75"/>
      <c r="L8" s="75"/>
      <c r="M8" s="73"/>
      <c r="N8" s="73"/>
      <c r="O8" s="73"/>
    </row>
    <row r="9" spans="1:15" ht="15" customHeight="1" x14ac:dyDescent="0.2">
      <c r="A9" s="77" t="s">
        <v>27</v>
      </c>
      <c r="B9" s="77" t="s">
        <v>26</v>
      </c>
      <c r="C9" s="81" t="s">
        <v>28</v>
      </c>
      <c r="D9" s="81" t="s">
        <v>28</v>
      </c>
      <c r="E9" s="81" t="s">
        <v>28</v>
      </c>
      <c r="F9" s="81" t="s">
        <v>28</v>
      </c>
      <c r="G9" s="81" t="s">
        <v>26</v>
      </c>
      <c r="H9" s="81" t="s">
        <v>26</v>
      </c>
      <c r="I9" s="76"/>
      <c r="J9" s="76"/>
      <c r="K9" s="76"/>
      <c r="L9" s="76"/>
      <c r="M9" s="74"/>
      <c r="N9" s="74"/>
      <c r="O9" s="74"/>
    </row>
    <row r="10" spans="1:15" x14ac:dyDescent="0.2">
      <c r="A10" s="186" t="s">
        <v>29</v>
      </c>
      <c r="B10" s="186" t="s">
        <v>26</v>
      </c>
      <c r="C10" s="187">
        <f>+C11+C13+C15+C17+C23+C25</f>
        <v>5223561.62</v>
      </c>
      <c r="D10" s="188">
        <f>+D11+D13+D15+D17+D23+D25</f>
        <v>5244244</v>
      </c>
      <c r="E10" s="188">
        <f>+E11+E13+E15+E17+E23+E25</f>
        <v>5244244</v>
      </c>
      <c r="F10" s="187">
        <f>+F11+F13+F15+F17+F23+F25</f>
        <v>5794212.1099999985</v>
      </c>
      <c r="G10" s="187">
        <f>+F10/C10*100</f>
        <v>110.92454787582267</v>
      </c>
      <c r="H10" s="187">
        <f>+F10/E10*100</f>
        <v>110.4870808833456</v>
      </c>
      <c r="I10" s="79"/>
      <c r="J10" s="79"/>
      <c r="K10" s="79"/>
      <c r="L10" s="79"/>
      <c r="M10" s="78"/>
      <c r="N10" s="78"/>
      <c r="O10" s="78"/>
    </row>
    <row r="11" spans="1:15" x14ac:dyDescent="0.2">
      <c r="A11" s="182" t="s">
        <v>54</v>
      </c>
      <c r="B11" s="183" t="s">
        <v>55</v>
      </c>
      <c r="C11" s="184">
        <f>+C12</f>
        <v>3796242.77</v>
      </c>
      <c r="D11" s="185">
        <f t="shared" ref="D11" si="0">+D12</f>
        <v>4113869</v>
      </c>
      <c r="E11" s="185">
        <f t="shared" ref="E11" si="1">+E12</f>
        <v>4113869</v>
      </c>
      <c r="F11" s="184">
        <f t="shared" ref="F11" si="2">+F12</f>
        <v>4605574.41</v>
      </c>
      <c r="G11" s="184">
        <f t="shared" ref="G11:G46" si="3">+F11/C11*100</f>
        <v>121.31928037889948</v>
      </c>
      <c r="H11" s="184">
        <f t="shared" ref="H11:H46" si="4">+F11/E11*100</f>
        <v>111.9523837535906</v>
      </c>
      <c r="I11" s="79"/>
      <c r="J11" s="79"/>
      <c r="K11" s="79"/>
      <c r="L11" s="79"/>
      <c r="M11" s="78"/>
      <c r="N11" s="78"/>
      <c r="O11" s="78"/>
    </row>
    <row r="12" spans="1:15" x14ac:dyDescent="0.2">
      <c r="A12" s="91" t="s">
        <v>56</v>
      </c>
      <c r="B12" s="92" t="s">
        <v>55</v>
      </c>
      <c r="C12" s="90">
        <v>3796242.77</v>
      </c>
      <c r="D12" s="90">
        <v>4113869</v>
      </c>
      <c r="E12" s="90">
        <v>4113869</v>
      </c>
      <c r="F12" s="90">
        <v>4605574.41</v>
      </c>
      <c r="G12" s="173">
        <f t="shared" si="3"/>
        <v>121.31928037889948</v>
      </c>
      <c r="H12" s="173">
        <f t="shared" si="4"/>
        <v>111.9523837535906</v>
      </c>
      <c r="I12" s="87"/>
      <c r="J12" s="87"/>
      <c r="K12" s="87"/>
      <c r="L12" s="87"/>
      <c r="M12" s="87"/>
      <c r="N12" s="87"/>
      <c r="O12" s="87"/>
    </row>
    <row r="13" spans="1:15" x14ac:dyDescent="0.2">
      <c r="A13" s="182" t="s">
        <v>81</v>
      </c>
      <c r="B13" s="183" t="s">
        <v>485</v>
      </c>
      <c r="C13" s="184">
        <f>+C14</f>
        <v>448792.48</v>
      </c>
      <c r="D13" s="185">
        <f t="shared" ref="D13" si="5">+D14</f>
        <v>534400</v>
      </c>
      <c r="E13" s="185">
        <f t="shared" ref="E13" si="6">+E14</f>
        <v>534400</v>
      </c>
      <c r="F13" s="184">
        <f t="shared" ref="F13" si="7">+F14</f>
        <v>461736.39</v>
      </c>
      <c r="G13" s="184">
        <f t="shared" si="3"/>
        <v>102.88416374534619</v>
      </c>
      <c r="H13" s="184">
        <f t="shared" si="4"/>
        <v>86.402767589820357</v>
      </c>
      <c r="I13" s="147"/>
      <c r="J13" s="147"/>
      <c r="K13" s="147"/>
      <c r="L13" s="147"/>
      <c r="M13" s="165"/>
      <c r="N13" s="165"/>
      <c r="O13" s="165"/>
    </row>
    <row r="14" spans="1:15" x14ac:dyDescent="0.2">
      <c r="A14" s="91" t="s">
        <v>83</v>
      </c>
      <c r="B14" s="92" t="s">
        <v>485</v>
      </c>
      <c r="C14" s="90">
        <v>448792.48</v>
      </c>
      <c r="D14" s="93">
        <v>534400</v>
      </c>
      <c r="E14" s="93">
        <v>534400</v>
      </c>
      <c r="F14" s="90">
        <v>461736.39</v>
      </c>
      <c r="G14" s="173">
        <f t="shared" si="3"/>
        <v>102.88416374534619</v>
      </c>
      <c r="H14" s="173">
        <f t="shared" si="4"/>
        <v>86.402767589820357</v>
      </c>
      <c r="I14" s="87"/>
      <c r="J14" s="87"/>
      <c r="K14" s="87"/>
      <c r="L14" s="87"/>
      <c r="M14" s="87"/>
      <c r="N14" s="87"/>
      <c r="O14" s="87"/>
    </row>
    <row r="15" spans="1:15" x14ac:dyDescent="0.2">
      <c r="A15" s="182" t="s">
        <v>57</v>
      </c>
      <c r="B15" s="183" t="s">
        <v>58</v>
      </c>
      <c r="C15" s="184">
        <f>+C16</f>
        <v>600704.31000000006</v>
      </c>
      <c r="D15" s="185">
        <f t="shared" ref="D15" si="8">+D16</f>
        <v>560559</v>
      </c>
      <c r="E15" s="185">
        <f t="shared" ref="E15" si="9">+E16</f>
        <v>560559</v>
      </c>
      <c r="F15" s="184">
        <f t="shared" ref="F15" si="10">+F16</f>
        <v>509072.73</v>
      </c>
      <c r="G15" s="184">
        <f t="shared" si="3"/>
        <v>84.745975936147346</v>
      </c>
      <c r="H15" s="184">
        <f t="shared" si="4"/>
        <v>90.815191621220961</v>
      </c>
      <c r="I15" s="147"/>
      <c r="J15" s="147"/>
      <c r="K15" s="147"/>
      <c r="L15" s="147"/>
      <c r="M15" s="165"/>
      <c r="N15" s="165"/>
      <c r="O15" s="165"/>
    </row>
    <row r="16" spans="1:15" x14ac:dyDescent="0.2">
      <c r="A16" s="91" t="s">
        <v>60</v>
      </c>
      <c r="B16" s="92" t="s">
        <v>61</v>
      </c>
      <c r="C16" s="90">
        <v>600704.31000000006</v>
      </c>
      <c r="D16" s="93">
        <v>560559</v>
      </c>
      <c r="E16" s="93">
        <v>560559</v>
      </c>
      <c r="F16" s="90">
        <v>509072.73</v>
      </c>
      <c r="G16" s="173">
        <f t="shared" si="3"/>
        <v>84.745975936147346</v>
      </c>
      <c r="H16" s="173">
        <f t="shared" si="4"/>
        <v>90.815191621220961</v>
      </c>
      <c r="I16" s="87"/>
      <c r="J16" s="87"/>
      <c r="K16" s="87"/>
      <c r="L16" s="87"/>
      <c r="M16" s="87"/>
      <c r="N16" s="87"/>
      <c r="O16" s="87"/>
    </row>
    <row r="17" spans="1:15" x14ac:dyDescent="0.2">
      <c r="A17" s="182" t="s">
        <v>62</v>
      </c>
      <c r="B17" s="183" t="s">
        <v>63</v>
      </c>
      <c r="C17" s="184">
        <f>SUM(C18:C22)</f>
        <v>367358.17</v>
      </c>
      <c r="D17" s="185">
        <f>SUM(D18:D22)</f>
        <v>35416</v>
      </c>
      <c r="E17" s="185">
        <f>SUM(E18:E22)</f>
        <v>35416</v>
      </c>
      <c r="F17" s="184">
        <f>SUM(F18:F22)</f>
        <v>172719.52</v>
      </c>
      <c r="G17" s="184">
        <f t="shared" si="3"/>
        <v>47.016654073597977</v>
      </c>
      <c r="H17" s="184">
        <f t="shared" si="4"/>
        <v>487.68782471199455</v>
      </c>
      <c r="I17" s="147"/>
      <c r="J17" s="147"/>
      <c r="K17" s="147"/>
      <c r="L17" s="147"/>
      <c r="M17" s="165"/>
      <c r="N17" s="165"/>
      <c r="O17" s="165"/>
    </row>
    <row r="18" spans="1:15" x14ac:dyDescent="0.2">
      <c r="A18" s="91" t="s">
        <v>64</v>
      </c>
      <c r="B18" s="92" t="s">
        <v>65</v>
      </c>
      <c r="C18" s="90">
        <v>0</v>
      </c>
      <c r="D18" s="93">
        <v>0</v>
      </c>
      <c r="E18" s="93">
        <v>0</v>
      </c>
      <c r="F18" s="90">
        <v>0</v>
      </c>
      <c r="G18" s="173" t="e">
        <f t="shared" si="3"/>
        <v>#DIV/0!</v>
      </c>
      <c r="H18" s="173" t="e">
        <f t="shared" si="4"/>
        <v>#DIV/0!</v>
      </c>
      <c r="I18" s="87"/>
      <c r="J18" s="87"/>
      <c r="K18" s="87"/>
      <c r="L18" s="87"/>
      <c r="M18" s="87"/>
      <c r="N18" s="87"/>
      <c r="O18" s="87"/>
    </row>
    <row r="19" spans="1:15" x14ac:dyDescent="0.2">
      <c r="A19" s="91" t="s">
        <v>75</v>
      </c>
      <c r="B19" s="92" t="s">
        <v>76</v>
      </c>
      <c r="C19" s="90">
        <v>367358.17</v>
      </c>
      <c r="D19" s="93">
        <v>35416</v>
      </c>
      <c r="E19" s="93">
        <v>35416</v>
      </c>
      <c r="F19" s="90">
        <v>172719.52</v>
      </c>
      <c r="G19" s="173">
        <f t="shared" si="3"/>
        <v>47.016654073597977</v>
      </c>
      <c r="H19" s="173">
        <f t="shared" si="4"/>
        <v>487.68782471199455</v>
      </c>
      <c r="I19" s="87"/>
      <c r="J19" s="87"/>
      <c r="K19" s="87"/>
      <c r="L19" s="87"/>
      <c r="M19" s="87"/>
      <c r="N19" s="87"/>
      <c r="O19" s="87"/>
    </row>
    <row r="20" spans="1:15" x14ac:dyDescent="0.2">
      <c r="A20" s="91" t="s">
        <v>66</v>
      </c>
      <c r="B20" s="92" t="s">
        <v>67</v>
      </c>
      <c r="C20" s="90">
        <v>0</v>
      </c>
      <c r="D20" s="93">
        <v>0</v>
      </c>
      <c r="E20" s="93">
        <v>0</v>
      </c>
      <c r="F20" s="90">
        <v>0</v>
      </c>
      <c r="G20" s="173" t="e">
        <f t="shared" si="3"/>
        <v>#DIV/0!</v>
      </c>
      <c r="H20" s="173" t="e">
        <f t="shared" si="4"/>
        <v>#DIV/0!</v>
      </c>
      <c r="I20" s="87"/>
      <c r="J20" s="87"/>
      <c r="K20" s="87"/>
      <c r="L20" s="87"/>
      <c r="M20" s="87"/>
      <c r="N20" s="87"/>
      <c r="O20" s="87"/>
    </row>
    <row r="21" spans="1:15" x14ac:dyDescent="0.2">
      <c r="A21" s="91" t="s">
        <v>68</v>
      </c>
      <c r="B21" s="92" t="s">
        <v>69</v>
      </c>
      <c r="C21" s="90">
        <v>0</v>
      </c>
      <c r="D21" s="93">
        <v>0</v>
      </c>
      <c r="E21" s="93">
        <v>0</v>
      </c>
      <c r="F21" s="90">
        <v>0</v>
      </c>
      <c r="G21" s="173" t="e">
        <f t="shared" si="3"/>
        <v>#DIV/0!</v>
      </c>
      <c r="H21" s="173" t="e">
        <f t="shared" si="4"/>
        <v>#DIV/0!</v>
      </c>
      <c r="I21" s="87"/>
      <c r="J21" s="87"/>
      <c r="K21" s="87"/>
      <c r="L21" s="87"/>
      <c r="M21" s="87"/>
      <c r="N21" s="87"/>
      <c r="O21" s="87"/>
    </row>
    <row r="22" spans="1:15" x14ac:dyDescent="0.2">
      <c r="A22" s="91" t="s">
        <v>70</v>
      </c>
      <c r="B22" s="92" t="s">
        <v>71</v>
      </c>
      <c r="C22" s="90">
        <v>0</v>
      </c>
      <c r="D22" s="93">
        <v>0</v>
      </c>
      <c r="E22" s="93">
        <v>0</v>
      </c>
      <c r="F22" s="90">
        <v>0</v>
      </c>
      <c r="G22" s="173" t="e">
        <f t="shared" si="3"/>
        <v>#DIV/0!</v>
      </c>
      <c r="H22" s="173" t="e">
        <f t="shared" si="4"/>
        <v>#DIV/0!</v>
      </c>
      <c r="I22" s="87"/>
      <c r="J22" s="87"/>
      <c r="K22" s="87"/>
      <c r="L22" s="87"/>
      <c r="M22" s="87"/>
      <c r="N22" s="87"/>
      <c r="O22" s="87"/>
    </row>
    <row r="23" spans="1:15" x14ac:dyDescent="0.2">
      <c r="A23" s="182" t="s">
        <v>30</v>
      </c>
      <c r="B23" s="183" t="s">
        <v>486</v>
      </c>
      <c r="C23" s="184">
        <f>+C24</f>
        <v>10463.89</v>
      </c>
      <c r="D23" s="185">
        <f t="shared" ref="D23" si="11">+D24</f>
        <v>0</v>
      </c>
      <c r="E23" s="185">
        <f t="shared" ref="E23" si="12">+E24</f>
        <v>0</v>
      </c>
      <c r="F23" s="184">
        <f t="shared" ref="F23" si="13">+F24</f>
        <v>45109.06</v>
      </c>
      <c r="G23" s="184">
        <f t="shared" si="3"/>
        <v>431.09264336685493</v>
      </c>
      <c r="H23" s="184" t="e">
        <f t="shared" si="4"/>
        <v>#DIV/0!</v>
      </c>
      <c r="I23" s="147"/>
      <c r="J23" s="147"/>
      <c r="K23" s="147"/>
      <c r="L23" s="147"/>
      <c r="M23" s="165"/>
      <c r="N23" s="165"/>
      <c r="O23" s="165"/>
    </row>
    <row r="24" spans="1:15" x14ac:dyDescent="0.2">
      <c r="A24" s="91" t="s">
        <v>32</v>
      </c>
      <c r="B24" s="92" t="s">
        <v>486</v>
      </c>
      <c r="C24" s="90">
        <v>10463.89</v>
      </c>
      <c r="D24" s="93">
        <v>0</v>
      </c>
      <c r="E24" s="93">
        <v>0</v>
      </c>
      <c r="F24" s="90">
        <v>45109.06</v>
      </c>
      <c r="G24" s="173">
        <f t="shared" si="3"/>
        <v>431.09264336685493</v>
      </c>
      <c r="H24" s="173" t="e">
        <f t="shared" si="4"/>
        <v>#DIV/0!</v>
      </c>
      <c r="I24" s="87"/>
      <c r="J24" s="87"/>
      <c r="K24" s="87"/>
      <c r="L24" s="87"/>
      <c r="M24" s="87"/>
      <c r="N24" s="87"/>
      <c r="O24" s="87"/>
    </row>
    <row r="25" spans="1:15" x14ac:dyDescent="0.2">
      <c r="A25" s="182" t="s">
        <v>337</v>
      </c>
      <c r="B25" s="183" t="s">
        <v>487</v>
      </c>
      <c r="C25" s="184">
        <f>+C26</f>
        <v>0</v>
      </c>
      <c r="D25" s="185">
        <f t="shared" ref="D25" si="14">+D26</f>
        <v>0</v>
      </c>
      <c r="E25" s="185">
        <f t="shared" ref="E25" si="15">+E26</f>
        <v>0</v>
      </c>
      <c r="F25" s="184">
        <f t="shared" ref="F25" si="16">+F26</f>
        <v>0</v>
      </c>
      <c r="G25" s="184" t="e">
        <f t="shared" si="3"/>
        <v>#DIV/0!</v>
      </c>
      <c r="H25" s="184" t="e">
        <f t="shared" si="4"/>
        <v>#DIV/0!</v>
      </c>
      <c r="I25" s="147"/>
      <c r="J25" s="147"/>
      <c r="K25" s="147"/>
      <c r="L25" s="147"/>
      <c r="M25" s="165"/>
      <c r="N25" s="165"/>
      <c r="O25" s="165"/>
    </row>
    <row r="26" spans="1:15" x14ac:dyDescent="0.2">
      <c r="A26" s="91" t="s">
        <v>339</v>
      </c>
      <c r="B26" s="92" t="s">
        <v>487</v>
      </c>
      <c r="C26" s="90">
        <v>0</v>
      </c>
      <c r="D26" s="93">
        <v>0</v>
      </c>
      <c r="E26" s="93">
        <v>0</v>
      </c>
      <c r="F26" s="90">
        <v>0</v>
      </c>
      <c r="G26" s="173" t="e">
        <f t="shared" si="3"/>
        <v>#DIV/0!</v>
      </c>
      <c r="H26" s="173" t="e">
        <f t="shared" si="4"/>
        <v>#DIV/0!</v>
      </c>
      <c r="I26" s="87"/>
      <c r="J26" s="87"/>
      <c r="K26" s="87"/>
      <c r="L26" s="87"/>
      <c r="M26" s="87"/>
      <c r="N26" s="87"/>
      <c r="O26" s="87"/>
    </row>
    <row r="27" spans="1:15" x14ac:dyDescent="0.2">
      <c r="A27" s="186" t="s">
        <v>72</v>
      </c>
      <c r="B27" s="186" t="s">
        <v>26</v>
      </c>
      <c r="C27" s="187">
        <f>+C28+C31+C33+C35+C41+C43+C45</f>
        <v>5019766.4899999993</v>
      </c>
      <c r="D27" s="188">
        <f>+D28+D31+D33+D35+D41+D43+D45</f>
        <v>5476275</v>
      </c>
      <c r="E27" s="188">
        <f>+E28+E31+E33+E35+E41+E43+E45</f>
        <v>5476275</v>
      </c>
      <c r="F27" s="187">
        <f>+F28+F31+F33+F35+F41+F43+F45</f>
        <v>6043076.3500000006</v>
      </c>
      <c r="G27" s="187">
        <f t="shared" si="3"/>
        <v>120.38560682132452</v>
      </c>
      <c r="H27" s="187">
        <f t="shared" si="4"/>
        <v>110.3501257697979</v>
      </c>
      <c r="I27" s="80"/>
      <c r="J27" s="80"/>
      <c r="K27" s="80"/>
      <c r="L27" s="80"/>
      <c r="M27" s="80"/>
      <c r="N27" s="80"/>
      <c r="O27" s="80"/>
    </row>
    <row r="28" spans="1:15" x14ac:dyDescent="0.2">
      <c r="A28" s="182" t="s">
        <v>54</v>
      </c>
      <c r="B28" s="183" t="s">
        <v>55</v>
      </c>
      <c r="C28" s="184">
        <f>+C29+C30</f>
        <v>3688743.01</v>
      </c>
      <c r="D28" s="185">
        <f>+D29+D30</f>
        <v>4113869</v>
      </c>
      <c r="E28" s="185">
        <f>+E29+E30</f>
        <v>4113869</v>
      </c>
      <c r="F28" s="184">
        <f>+F29+F30</f>
        <v>4681543.4400000004</v>
      </c>
      <c r="G28" s="184">
        <f t="shared" si="3"/>
        <v>126.91432900878614</v>
      </c>
      <c r="H28" s="184">
        <f t="shared" si="4"/>
        <v>113.79904027084966</v>
      </c>
      <c r="I28" s="147"/>
      <c r="J28" s="147"/>
      <c r="K28" s="147"/>
      <c r="L28" s="147"/>
      <c r="M28" s="165"/>
      <c r="N28" s="165"/>
      <c r="O28" s="165"/>
    </row>
    <row r="29" spans="1:15" x14ac:dyDescent="0.2">
      <c r="A29" s="91" t="s">
        <v>56</v>
      </c>
      <c r="B29" s="92" t="s">
        <v>55</v>
      </c>
      <c r="C29" s="90">
        <v>3688743.01</v>
      </c>
      <c r="D29" s="93">
        <v>4113869</v>
      </c>
      <c r="E29" s="93">
        <v>4113869</v>
      </c>
      <c r="F29" s="90">
        <v>4681543.4400000004</v>
      </c>
      <c r="G29" s="173">
        <f t="shared" si="3"/>
        <v>126.91432900878614</v>
      </c>
      <c r="H29" s="173">
        <f t="shared" si="4"/>
        <v>113.79904027084966</v>
      </c>
      <c r="I29" s="87"/>
      <c r="J29" s="87"/>
      <c r="K29" s="87"/>
      <c r="L29" s="87"/>
      <c r="M29" s="87"/>
      <c r="N29" s="87"/>
      <c r="O29" s="87"/>
    </row>
    <row r="30" spans="1:15" x14ac:dyDescent="0.2">
      <c r="A30" s="91" t="s">
        <v>73</v>
      </c>
      <c r="B30" s="92" t="s">
        <v>74</v>
      </c>
      <c r="C30" s="90">
        <v>0</v>
      </c>
      <c r="D30" s="93">
        <v>0</v>
      </c>
      <c r="E30" s="93">
        <v>0</v>
      </c>
      <c r="F30" s="90">
        <v>0</v>
      </c>
      <c r="G30" s="173" t="e">
        <f t="shared" si="3"/>
        <v>#DIV/0!</v>
      </c>
      <c r="H30" s="173" t="e">
        <f t="shared" si="4"/>
        <v>#DIV/0!</v>
      </c>
      <c r="I30" s="87"/>
      <c r="J30" s="87"/>
      <c r="K30" s="87"/>
      <c r="L30" s="87"/>
      <c r="M30" s="87"/>
      <c r="N30" s="87"/>
      <c r="O30" s="87"/>
    </row>
    <row r="31" spans="1:15" x14ac:dyDescent="0.2">
      <c r="A31" s="182" t="s">
        <v>81</v>
      </c>
      <c r="B31" s="183" t="s">
        <v>485</v>
      </c>
      <c r="C31" s="184">
        <f>+C32</f>
        <v>468755.3</v>
      </c>
      <c r="D31" s="185">
        <f t="shared" ref="D31" si="17">+D32</f>
        <v>622935</v>
      </c>
      <c r="E31" s="185">
        <f t="shared" ref="E31" si="18">+E32</f>
        <v>622935</v>
      </c>
      <c r="F31" s="184">
        <f t="shared" ref="F31" si="19">+F32</f>
        <v>492080.02</v>
      </c>
      <c r="G31" s="184">
        <f t="shared" si="3"/>
        <v>104.97588400600483</v>
      </c>
      <c r="H31" s="184">
        <f t="shared" si="4"/>
        <v>78.993798710940951</v>
      </c>
      <c r="I31" s="147"/>
      <c r="J31" s="147"/>
      <c r="K31" s="147"/>
      <c r="L31" s="147"/>
      <c r="M31" s="165"/>
      <c r="N31" s="165"/>
      <c r="O31" s="165"/>
    </row>
    <row r="32" spans="1:15" x14ac:dyDescent="0.2">
      <c r="A32" s="91" t="s">
        <v>83</v>
      </c>
      <c r="B32" s="92" t="s">
        <v>485</v>
      </c>
      <c r="C32" s="90">
        <v>468755.3</v>
      </c>
      <c r="D32" s="93">
        <v>622935</v>
      </c>
      <c r="E32" s="93">
        <v>622935</v>
      </c>
      <c r="F32" s="90">
        <v>492080.02</v>
      </c>
      <c r="G32" s="173">
        <f t="shared" si="3"/>
        <v>104.97588400600483</v>
      </c>
      <c r="H32" s="173">
        <f t="shared" si="4"/>
        <v>78.993798710940951</v>
      </c>
      <c r="I32" s="87"/>
      <c r="J32" s="87"/>
      <c r="K32" s="87"/>
      <c r="L32" s="87"/>
      <c r="M32" s="87"/>
      <c r="N32" s="87"/>
      <c r="O32" s="87"/>
    </row>
    <row r="33" spans="1:15" x14ac:dyDescent="0.2">
      <c r="A33" s="182" t="s">
        <v>57</v>
      </c>
      <c r="B33" s="183" t="s">
        <v>58</v>
      </c>
      <c r="C33" s="184">
        <f>+C34</f>
        <v>740087.92</v>
      </c>
      <c r="D33" s="185">
        <f t="shared" ref="D33" si="20">+D34</f>
        <v>716513</v>
      </c>
      <c r="E33" s="185">
        <f t="shared" ref="E33" si="21">+E34</f>
        <v>716513</v>
      </c>
      <c r="F33" s="184">
        <f t="shared" ref="F33" si="22">+F34</f>
        <v>693390.96</v>
      </c>
      <c r="G33" s="184">
        <f t="shared" si="3"/>
        <v>93.690349654673454</v>
      </c>
      <c r="H33" s="184">
        <f t="shared" si="4"/>
        <v>96.772976903419746</v>
      </c>
      <c r="I33" s="147"/>
      <c r="J33" s="147"/>
      <c r="K33" s="147"/>
      <c r="L33" s="147"/>
      <c r="M33" s="165"/>
      <c r="N33" s="165"/>
      <c r="O33" s="165"/>
    </row>
    <row r="34" spans="1:15" x14ac:dyDescent="0.2">
      <c r="A34" s="91" t="s">
        <v>60</v>
      </c>
      <c r="B34" s="92" t="s">
        <v>61</v>
      </c>
      <c r="C34" s="90">
        <v>740087.92</v>
      </c>
      <c r="D34" s="93">
        <v>716513</v>
      </c>
      <c r="E34" s="93">
        <v>716513</v>
      </c>
      <c r="F34" s="90">
        <v>693390.96</v>
      </c>
      <c r="G34" s="173">
        <f t="shared" si="3"/>
        <v>93.690349654673454</v>
      </c>
      <c r="H34" s="173">
        <f t="shared" si="4"/>
        <v>96.772976903419746</v>
      </c>
      <c r="I34" s="87"/>
      <c r="J34" s="87"/>
      <c r="K34" s="87"/>
      <c r="L34" s="87"/>
      <c r="M34" s="87"/>
      <c r="N34" s="87"/>
      <c r="O34" s="87"/>
    </row>
    <row r="35" spans="1:15" x14ac:dyDescent="0.2">
      <c r="A35" s="182" t="s">
        <v>62</v>
      </c>
      <c r="B35" s="183" t="s">
        <v>63</v>
      </c>
      <c r="C35" s="184">
        <f>SUM(C36:C40)</f>
        <v>116680.26</v>
      </c>
      <c r="D35" s="185">
        <f>SUM(D36:D40)</f>
        <v>22958</v>
      </c>
      <c r="E35" s="185">
        <f>SUM(E36:E40)</f>
        <v>22958</v>
      </c>
      <c r="F35" s="184">
        <f>SUM(F36:F40)</f>
        <v>131365.16</v>
      </c>
      <c r="G35" s="184">
        <f t="shared" si="3"/>
        <v>112.5855907417416</v>
      </c>
      <c r="H35" s="184">
        <f t="shared" si="4"/>
        <v>572.19775241745799</v>
      </c>
      <c r="I35" s="147"/>
      <c r="J35" s="147"/>
      <c r="K35" s="147"/>
      <c r="L35" s="147"/>
      <c r="M35" s="165"/>
      <c r="N35" s="165"/>
      <c r="O35" s="165"/>
    </row>
    <row r="36" spans="1:15" x14ac:dyDescent="0.2">
      <c r="A36" s="91" t="s">
        <v>64</v>
      </c>
      <c r="B36" s="92" t="s">
        <v>65</v>
      </c>
      <c r="C36" s="90">
        <v>0</v>
      </c>
      <c r="D36" s="93">
        <v>0</v>
      </c>
      <c r="E36" s="93">
        <v>0</v>
      </c>
      <c r="F36" s="90">
        <v>0</v>
      </c>
      <c r="G36" s="173" t="e">
        <f t="shared" si="3"/>
        <v>#DIV/0!</v>
      </c>
      <c r="H36" s="173" t="e">
        <f t="shared" si="4"/>
        <v>#DIV/0!</v>
      </c>
      <c r="I36" s="87"/>
      <c r="J36" s="87"/>
      <c r="K36" s="87"/>
      <c r="L36" s="87"/>
      <c r="M36" s="87"/>
      <c r="N36" s="87"/>
      <c r="O36" s="87"/>
    </row>
    <row r="37" spans="1:15" x14ac:dyDescent="0.2">
      <c r="A37" s="91" t="s">
        <v>75</v>
      </c>
      <c r="B37" s="92" t="s">
        <v>76</v>
      </c>
      <c r="C37" s="90">
        <v>116680.26</v>
      </c>
      <c r="D37" s="93">
        <v>22958</v>
      </c>
      <c r="E37" s="93">
        <v>22958</v>
      </c>
      <c r="F37" s="90">
        <v>131365.16</v>
      </c>
      <c r="G37" s="173">
        <f t="shared" si="3"/>
        <v>112.5855907417416</v>
      </c>
      <c r="H37" s="173">
        <f t="shared" si="4"/>
        <v>572.19775241745799</v>
      </c>
      <c r="I37" s="87"/>
      <c r="J37" s="87"/>
      <c r="K37" s="87"/>
      <c r="L37" s="87"/>
      <c r="M37" s="87"/>
      <c r="N37" s="87"/>
      <c r="O37" s="87"/>
    </row>
    <row r="38" spans="1:15" x14ac:dyDescent="0.2">
      <c r="A38" s="91" t="s">
        <v>66</v>
      </c>
      <c r="B38" s="92" t="s">
        <v>67</v>
      </c>
      <c r="C38" s="90">
        <v>0</v>
      </c>
      <c r="D38" s="93">
        <v>0</v>
      </c>
      <c r="E38" s="93">
        <v>0</v>
      </c>
      <c r="F38" s="90">
        <v>0</v>
      </c>
      <c r="G38" s="173" t="e">
        <f t="shared" si="3"/>
        <v>#DIV/0!</v>
      </c>
      <c r="H38" s="173" t="e">
        <f t="shared" si="4"/>
        <v>#DIV/0!</v>
      </c>
      <c r="I38" s="87"/>
      <c r="J38" s="87"/>
      <c r="K38" s="87"/>
      <c r="L38" s="87"/>
      <c r="M38" s="87"/>
      <c r="N38" s="87"/>
      <c r="O38" s="87"/>
    </row>
    <row r="39" spans="1:15" x14ac:dyDescent="0.2">
      <c r="A39" s="91" t="s">
        <v>68</v>
      </c>
      <c r="B39" s="92" t="s">
        <v>69</v>
      </c>
      <c r="C39" s="90">
        <v>0</v>
      </c>
      <c r="D39" s="93">
        <v>0</v>
      </c>
      <c r="E39" s="93">
        <v>0</v>
      </c>
      <c r="F39" s="90">
        <v>0</v>
      </c>
      <c r="G39" s="173" t="e">
        <f t="shared" si="3"/>
        <v>#DIV/0!</v>
      </c>
      <c r="H39" s="173" t="e">
        <f t="shared" si="4"/>
        <v>#DIV/0!</v>
      </c>
      <c r="I39" s="87"/>
      <c r="J39" s="87"/>
      <c r="K39" s="87"/>
      <c r="L39" s="87"/>
      <c r="M39" s="87"/>
      <c r="N39" s="87"/>
      <c r="O39" s="87"/>
    </row>
    <row r="40" spans="1:15" x14ac:dyDescent="0.2">
      <c r="A40" s="91" t="s">
        <v>70</v>
      </c>
      <c r="B40" s="92" t="s">
        <v>71</v>
      </c>
      <c r="C40" s="90">
        <v>0</v>
      </c>
      <c r="D40" s="93">
        <v>0</v>
      </c>
      <c r="E40" s="93">
        <v>0</v>
      </c>
      <c r="F40" s="90">
        <v>0</v>
      </c>
      <c r="G40" s="173" t="e">
        <f t="shared" si="3"/>
        <v>#DIV/0!</v>
      </c>
      <c r="H40" s="173" t="e">
        <f t="shared" si="4"/>
        <v>#DIV/0!</v>
      </c>
      <c r="I40" s="87"/>
      <c r="J40" s="87"/>
      <c r="K40" s="87"/>
      <c r="L40" s="87"/>
      <c r="M40" s="87"/>
      <c r="N40" s="87"/>
      <c r="O40" s="87"/>
    </row>
    <row r="41" spans="1:15" x14ac:dyDescent="0.2">
      <c r="A41" s="182" t="s">
        <v>30</v>
      </c>
      <c r="B41" s="183" t="s">
        <v>486</v>
      </c>
      <c r="C41" s="184">
        <f>+C42</f>
        <v>5500</v>
      </c>
      <c r="D41" s="185">
        <f t="shared" ref="D41" si="23">+D42</f>
        <v>0</v>
      </c>
      <c r="E41" s="185">
        <f t="shared" ref="E41" si="24">+E42</f>
        <v>0</v>
      </c>
      <c r="F41" s="184">
        <f t="shared" ref="F41" si="25">+F42</f>
        <v>44696.77</v>
      </c>
      <c r="G41" s="184">
        <f t="shared" si="3"/>
        <v>812.66854545454544</v>
      </c>
      <c r="H41" s="184" t="e">
        <f t="shared" si="4"/>
        <v>#DIV/0!</v>
      </c>
      <c r="I41" s="147"/>
      <c r="J41" s="147"/>
      <c r="K41" s="147"/>
      <c r="L41" s="147"/>
      <c r="M41" s="165"/>
      <c r="N41" s="165"/>
      <c r="O41" s="165"/>
    </row>
    <row r="42" spans="1:15" x14ac:dyDescent="0.2">
      <c r="A42" s="91" t="s">
        <v>32</v>
      </c>
      <c r="B42" s="92" t="s">
        <v>486</v>
      </c>
      <c r="C42" s="90">
        <v>5500</v>
      </c>
      <c r="D42" s="93">
        <v>0</v>
      </c>
      <c r="E42" s="93">
        <v>0</v>
      </c>
      <c r="F42" s="90">
        <v>44696.77</v>
      </c>
      <c r="G42" s="173">
        <f t="shared" si="3"/>
        <v>812.66854545454544</v>
      </c>
      <c r="H42" s="173" t="e">
        <f t="shared" si="4"/>
        <v>#DIV/0!</v>
      </c>
      <c r="I42" s="87"/>
      <c r="J42" s="87"/>
      <c r="K42" s="87"/>
      <c r="L42" s="87"/>
      <c r="M42" s="87"/>
      <c r="N42" s="87"/>
      <c r="O42" s="87"/>
    </row>
    <row r="43" spans="1:15" x14ac:dyDescent="0.2">
      <c r="A43" s="182" t="s">
        <v>337</v>
      </c>
      <c r="B43" s="183" t="s">
        <v>487</v>
      </c>
      <c r="C43" s="184">
        <f>+C44</f>
        <v>0</v>
      </c>
      <c r="D43" s="185">
        <f t="shared" ref="D43" si="26">+D44</f>
        <v>0</v>
      </c>
      <c r="E43" s="185">
        <f t="shared" ref="E43" si="27">+E44</f>
        <v>0</v>
      </c>
      <c r="F43" s="184">
        <f t="shared" ref="F43" si="28">+F44</f>
        <v>0</v>
      </c>
      <c r="G43" s="184" t="e">
        <f t="shared" si="3"/>
        <v>#DIV/0!</v>
      </c>
      <c r="H43" s="184" t="e">
        <f t="shared" si="4"/>
        <v>#DIV/0!</v>
      </c>
      <c r="I43" s="147"/>
      <c r="J43" s="147"/>
      <c r="K43" s="147"/>
      <c r="L43" s="147"/>
      <c r="M43" s="165"/>
      <c r="N43" s="165"/>
      <c r="O43" s="165"/>
    </row>
    <row r="44" spans="1:15" x14ac:dyDescent="0.2">
      <c r="A44" s="91" t="s">
        <v>339</v>
      </c>
      <c r="B44" s="92" t="s">
        <v>487</v>
      </c>
      <c r="C44" s="90">
        <v>0</v>
      </c>
      <c r="D44" s="93">
        <v>0</v>
      </c>
      <c r="E44" s="93">
        <v>0</v>
      </c>
      <c r="F44" s="90">
        <v>0</v>
      </c>
      <c r="G44" s="173" t="e">
        <f t="shared" si="3"/>
        <v>#DIV/0!</v>
      </c>
      <c r="H44" s="173" t="e">
        <f t="shared" si="4"/>
        <v>#DIV/0!</v>
      </c>
      <c r="I44" s="87"/>
      <c r="J44" s="87"/>
      <c r="K44" s="87"/>
      <c r="L44" s="87"/>
      <c r="M44" s="87"/>
      <c r="N44" s="87"/>
      <c r="O44" s="87"/>
    </row>
    <row r="45" spans="1:15" x14ac:dyDescent="0.2">
      <c r="A45" s="182" t="s">
        <v>77</v>
      </c>
      <c r="B45" s="183" t="s">
        <v>78</v>
      </c>
      <c r="C45" s="184">
        <f>+C46</f>
        <v>0</v>
      </c>
      <c r="D45" s="185">
        <f t="shared" ref="D45:F45" si="29">+D46</f>
        <v>0</v>
      </c>
      <c r="E45" s="185">
        <f t="shared" si="29"/>
        <v>0</v>
      </c>
      <c r="F45" s="184">
        <f t="shared" si="29"/>
        <v>0</v>
      </c>
      <c r="G45" s="184" t="e">
        <f t="shared" si="3"/>
        <v>#DIV/0!</v>
      </c>
      <c r="H45" s="184" t="e">
        <f t="shared" si="4"/>
        <v>#DIV/0!</v>
      </c>
      <c r="I45" s="147"/>
      <c r="J45" s="147"/>
      <c r="K45" s="147"/>
      <c r="L45" s="147"/>
      <c r="M45" s="165"/>
      <c r="N45" s="165"/>
      <c r="O45" s="165"/>
    </row>
    <row r="46" spans="1:15" x14ac:dyDescent="0.2">
      <c r="A46" s="91" t="s">
        <v>79</v>
      </c>
      <c r="B46" s="92" t="s">
        <v>78</v>
      </c>
      <c r="C46" s="90">
        <v>0</v>
      </c>
      <c r="D46" s="90">
        <v>0</v>
      </c>
      <c r="E46" s="93">
        <v>0</v>
      </c>
      <c r="F46" s="90"/>
      <c r="G46" s="173" t="e">
        <f t="shared" si="3"/>
        <v>#DIV/0!</v>
      </c>
      <c r="H46" s="173" t="e">
        <f t="shared" si="4"/>
        <v>#DIV/0!</v>
      </c>
      <c r="I46" s="87"/>
      <c r="J46" s="87"/>
      <c r="K46" s="87"/>
      <c r="L46" s="87"/>
      <c r="M46" s="87"/>
      <c r="N46" s="87"/>
      <c r="O46" s="8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4" sqref="F14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94"/>
      <c r="M1" s="94"/>
      <c r="N1" s="94"/>
      <c r="O1" s="94"/>
    </row>
    <row r="2" spans="1:15" ht="15.75" hidden="1" customHeight="1" x14ac:dyDescent="0.2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94"/>
      <c r="M2" s="94"/>
      <c r="N2" s="94"/>
      <c r="O2" s="94"/>
    </row>
    <row r="3" spans="1:15" ht="18" hidden="1" customHeight="1" x14ac:dyDescent="0.2">
      <c r="A3" s="100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94"/>
      <c r="M3" s="94"/>
      <c r="N3" s="94"/>
      <c r="O3" s="94"/>
    </row>
    <row r="4" spans="1:15" ht="18" x14ac:dyDescent="0.2">
      <c r="A4" s="100"/>
      <c r="B4" s="100"/>
      <c r="C4" s="100"/>
      <c r="D4" s="100"/>
      <c r="E4" s="100"/>
      <c r="F4" s="100"/>
      <c r="G4" s="100"/>
      <c r="H4" s="100"/>
      <c r="I4" s="101"/>
      <c r="J4" s="101"/>
      <c r="K4" s="101"/>
      <c r="L4" s="94"/>
      <c r="M4" s="94"/>
      <c r="N4" s="94"/>
      <c r="O4" s="94"/>
    </row>
    <row r="5" spans="1:15" ht="15.75" customHeight="1" x14ac:dyDescent="0.2">
      <c r="A5" s="402" t="s">
        <v>488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94"/>
      <c r="M5" s="94"/>
      <c r="N5" s="94"/>
      <c r="O5" s="94"/>
    </row>
    <row r="6" spans="1:15" ht="18" x14ac:dyDescent="0.2">
      <c r="A6" s="100"/>
      <c r="B6" s="100"/>
      <c r="C6" s="100"/>
      <c r="D6" s="100"/>
      <c r="E6" s="100"/>
      <c r="F6" s="100"/>
      <c r="G6" s="100"/>
      <c r="H6" s="100"/>
      <c r="I6" s="101"/>
      <c r="J6" s="101"/>
      <c r="K6" s="101"/>
      <c r="L6" s="94"/>
      <c r="M6" s="94"/>
      <c r="N6" s="94"/>
      <c r="O6" s="94"/>
    </row>
    <row r="7" spans="1:15" s="33" customFormat="1" ht="57" x14ac:dyDescent="0.25">
      <c r="A7" s="401" t="s">
        <v>3</v>
      </c>
      <c r="B7" s="401"/>
      <c r="C7" s="161" t="s">
        <v>589</v>
      </c>
      <c r="D7" s="161" t="s">
        <v>560</v>
      </c>
      <c r="E7" s="161" t="s">
        <v>561</v>
      </c>
      <c r="F7" s="161" t="s">
        <v>590</v>
      </c>
      <c r="G7" s="110" t="s">
        <v>260</v>
      </c>
      <c r="H7" s="110" t="s">
        <v>261</v>
      </c>
      <c r="I7" s="95"/>
      <c r="J7" s="95"/>
      <c r="K7" s="95"/>
      <c r="L7" s="95"/>
      <c r="M7" s="95"/>
      <c r="N7" s="95"/>
      <c r="O7" s="95"/>
    </row>
    <row r="8" spans="1:15" s="34" customFormat="1" ht="12.75" customHeight="1" x14ac:dyDescent="0.2">
      <c r="A8" s="400">
        <v>1</v>
      </c>
      <c r="B8" s="400"/>
      <c r="C8" s="111">
        <v>2</v>
      </c>
      <c r="D8" s="111">
        <v>3</v>
      </c>
      <c r="E8" s="111">
        <v>4.3333333333333304</v>
      </c>
      <c r="F8" s="111">
        <v>5.0833333333333304</v>
      </c>
      <c r="G8" s="111">
        <v>6</v>
      </c>
      <c r="H8" s="111">
        <v>7</v>
      </c>
      <c r="I8" s="97"/>
      <c r="J8" s="97"/>
      <c r="K8" s="97"/>
      <c r="L8" s="97"/>
      <c r="M8" s="96"/>
      <c r="N8" s="96"/>
      <c r="O8" s="96"/>
    </row>
    <row r="9" spans="1:15" ht="15" customHeight="1" x14ac:dyDescent="0.2">
      <c r="A9" s="128" t="s">
        <v>554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6"/>
      <c r="J9" s="146"/>
      <c r="K9" s="146"/>
      <c r="L9" s="146"/>
      <c r="M9" s="164"/>
      <c r="N9" s="164"/>
      <c r="O9" s="164"/>
    </row>
    <row r="10" spans="1:15" x14ac:dyDescent="0.2">
      <c r="A10" s="197"/>
      <c r="B10" s="202" t="s">
        <v>255</v>
      </c>
      <c r="C10" s="196">
        <f>+C11+C13</f>
        <v>5019766.49</v>
      </c>
      <c r="D10" s="196">
        <f>+D11+D13</f>
        <v>5476275</v>
      </c>
      <c r="E10" s="196">
        <f>+E11+E13</f>
        <v>5476275</v>
      </c>
      <c r="F10" s="196">
        <f>+F11+F13</f>
        <v>6043076.3499999996</v>
      </c>
      <c r="G10" s="187">
        <f>+F10/C10*100</f>
        <v>120.38560682132446</v>
      </c>
      <c r="H10" s="187">
        <f>+F10/E10*100</f>
        <v>110.3501257697979</v>
      </c>
      <c r="I10" s="112"/>
      <c r="J10" s="112"/>
      <c r="K10" s="112"/>
      <c r="L10" s="112"/>
      <c r="M10" s="113"/>
      <c r="N10" s="113"/>
      <c r="O10" s="113"/>
    </row>
    <row r="11" spans="1:15" x14ac:dyDescent="0.2">
      <c r="A11" s="182" t="s">
        <v>489</v>
      </c>
      <c r="B11" s="183" t="s">
        <v>490</v>
      </c>
      <c r="C11" s="184">
        <f>+C12</f>
        <v>0</v>
      </c>
      <c r="D11" s="185">
        <f t="shared" ref="D11:F11" si="0">+D12</f>
        <v>0</v>
      </c>
      <c r="E11" s="185">
        <f t="shared" si="0"/>
        <v>0</v>
      </c>
      <c r="F11" s="184">
        <f t="shared" si="0"/>
        <v>0</v>
      </c>
      <c r="G11" s="184" t="e">
        <f t="shared" ref="G11:G14" si="1">+F11/C11*100</f>
        <v>#DIV/0!</v>
      </c>
      <c r="H11" s="184" t="e">
        <f t="shared" ref="H11:H14" si="2">+F11/E11*100</f>
        <v>#DIV/0!</v>
      </c>
      <c r="I11" s="115"/>
      <c r="J11" s="115"/>
      <c r="K11" s="115"/>
      <c r="L11" s="115"/>
      <c r="M11" s="114"/>
      <c r="N11" s="114"/>
      <c r="O11" s="114"/>
    </row>
    <row r="12" spans="1:15" x14ac:dyDescent="0.2">
      <c r="A12" s="120" t="s">
        <v>491</v>
      </c>
      <c r="B12" s="121" t="s">
        <v>492</v>
      </c>
      <c r="C12" s="116">
        <v>0</v>
      </c>
      <c r="D12" s="117">
        <v>0</v>
      </c>
      <c r="E12" s="117">
        <v>0</v>
      </c>
      <c r="F12" s="116">
        <v>0</v>
      </c>
      <c r="G12" s="173" t="e">
        <f t="shared" si="1"/>
        <v>#DIV/0!</v>
      </c>
      <c r="H12" s="173" t="e">
        <f t="shared" si="2"/>
        <v>#DIV/0!</v>
      </c>
      <c r="I12" s="118"/>
      <c r="J12" s="118"/>
      <c r="K12" s="118"/>
      <c r="L12" s="118"/>
      <c r="M12" s="119"/>
      <c r="N12" s="119"/>
      <c r="O12" s="119"/>
    </row>
    <row r="13" spans="1:15" x14ac:dyDescent="0.2">
      <c r="A13" s="182" t="s">
        <v>493</v>
      </c>
      <c r="B13" s="183" t="s">
        <v>494</v>
      </c>
      <c r="C13" s="184">
        <f>+C14</f>
        <v>5019766.49</v>
      </c>
      <c r="D13" s="185">
        <f t="shared" ref="D13" si="3">+D14</f>
        <v>5476275</v>
      </c>
      <c r="E13" s="185">
        <f t="shared" ref="E13" si="4">+E14</f>
        <v>5476275</v>
      </c>
      <c r="F13" s="184">
        <f t="shared" ref="F13" si="5">+F14</f>
        <v>6043076.3499999996</v>
      </c>
      <c r="G13" s="184">
        <f t="shared" si="1"/>
        <v>120.38560682132446</v>
      </c>
      <c r="H13" s="184">
        <f t="shared" si="2"/>
        <v>110.3501257697979</v>
      </c>
      <c r="I13" s="115"/>
      <c r="J13" s="115"/>
      <c r="K13" s="115"/>
      <c r="L13" s="115"/>
      <c r="M13" s="114"/>
      <c r="N13" s="114"/>
      <c r="O13" s="114"/>
    </row>
    <row r="14" spans="1:15" x14ac:dyDescent="0.2">
      <c r="A14" s="120" t="s">
        <v>495</v>
      </c>
      <c r="B14" s="155" t="s">
        <v>496</v>
      </c>
      <c r="C14" s="116">
        <v>5019766.49</v>
      </c>
      <c r="D14" s="117">
        <v>5476275</v>
      </c>
      <c r="E14" s="117">
        <v>5476275</v>
      </c>
      <c r="F14" s="116">
        <v>6043076.3499999996</v>
      </c>
      <c r="G14" s="173">
        <f t="shared" si="1"/>
        <v>120.38560682132446</v>
      </c>
      <c r="H14" s="173">
        <f t="shared" si="2"/>
        <v>110.3501257697979</v>
      </c>
      <c r="I14" s="119"/>
      <c r="J14" s="119"/>
      <c r="K14" s="119"/>
      <c r="L14" s="119"/>
      <c r="M14" s="119"/>
      <c r="N14" s="119"/>
      <c r="O14" s="119"/>
    </row>
    <row r="15" spans="1:15" x14ac:dyDescent="0.2">
      <c r="A15" s="98"/>
      <c r="B15" s="102"/>
      <c r="C15" s="103"/>
      <c r="D15" s="104"/>
      <c r="E15" s="104"/>
      <c r="F15" s="103"/>
      <c r="G15" s="103"/>
      <c r="H15" s="103"/>
      <c r="I15" s="99"/>
      <c r="J15" s="99"/>
      <c r="K15" s="99"/>
      <c r="L15" s="99"/>
      <c r="M15" s="99"/>
      <c r="N15" s="99"/>
      <c r="O15" s="99"/>
    </row>
    <row r="16" spans="1:15" x14ac:dyDescent="0.2">
      <c r="A16" s="108"/>
      <c r="B16" s="109"/>
      <c r="C16" s="105"/>
      <c r="D16" s="106"/>
      <c r="E16" s="106"/>
      <c r="F16" s="105"/>
      <c r="G16" s="105"/>
      <c r="H16" s="105"/>
      <c r="I16" s="107"/>
      <c r="J16" s="107"/>
      <c r="K16" s="107"/>
      <c r="L16" s="107"/>
      <c r="M16" s="107"/>
      <c r="N16" s="107"/>
      <c r="O16" s="107"/>
    </row>
    <row r="17" spans="1:15" x14ac:dyDescent="0.2">
      <c r="A17" s="108"/>
      <c r="B17" s="109"/>
      <c r="C17" s="105"/>
      <c r="D17" s="106"/>
      <c r="E17" s="106"/>
      <c r="F17" s="105"/>
      <c r="G17" s="105"/>
      <c r="H17" s="105"/>
      <c r="I17" s="107"/>
      <c r="J17" s="107"/>
      <c r="K17" s="107"/>
      <c r="L17" s="107"/>
      <c r="M17" s="107"/>
      <c r="N17" s="107"/>
      <c r="O17" s="107"/>
    </row>
    <row r="18" spans="1:15" x14ac:dyDescent="0.2">
      <c r="A18" s="108"/>
      <c r="B18" s="109"/>
      <c r="C18" s="105"/>
      <c r="D18" s="106"/>
      <c r="E18" s="106"/>
      <c r="F18" s="105"/>
      <c r="G18" s="105"/>
      <c r="H18" s="105"/>
      <c r="I18" s="107"/>
      <c r="J18" s="107"/>
      <c r="K18" s="107"/>
      <c r="L18" s="107"/>
      <c r="M18" s="107"/>
      <c r="N18" s="107"/>
      <c r="O18" s="107"/>
    </row>
    <row r="19" spans="1:15" x14ac:dyDescent="0.2">
      <c r="A19" s="108"/>
      <c r="B19" s="109"/>
      <c r="C19" s="105"/>
      <c r="D19" s="106"/>
      <c r="E19" s="106"/>
      <c r="F19" s="105"/>
      <c r="G19" s="105"/>
      <c r="H19" s="105"/>
      <c r="I19" s="107"/>
      <c r="J19" s="107"/>
      <c r="K19" s="107"/>
      <c r="L19" s="107"/>
      <c r="M19" s="107"/>
      <c r="N19" s="107"/>
      <c r="O19" s="107"/>
    </row>
    <row r="20" spans="1:15" x14ac:dyDescent="0.2">
      <c r="A20" s="108"/>
      <c r="B20" s="109"/>
      <c r="C20" s="105"/>
      <c r="D20" s="106"/>
      <c r="E20" s="106"/>
      <c r="F20" s="105"/>
      <c r="G20" s="105"/>
      <c r="H20" s="105"/>
      <c r="I20" s="107"/>
      <c r="J20" s="107"/>
      <c r="K20" s="107"/>
      <c r="L20" s="107"/>
      <c r="M20" s="107"/>
      <c r="N20" s="107"/>
      <c r="O20" s="107"/>
    </row>
    <row r="21" spans="1:15" x14ac:dyDescent="0.2">
      <c r="A21" s="98"/>
      <c r="B21" s="102"/>
      <c r="C21" s="103"/>
      <c r="D21" s="104"/>
      <c r="E21" s="104"/>
      <c r="F21" s="103"/>
      <c r="G21" s="103"/>
      <c r="H21" s="103"/>
      <c r="I21" s="99"/>
      <c r="J21" s="99"/>
      <c r="K21" s="99"/>
      <c r="L21" s="99"/>
      <c r="M21" s="99"/>
      <c r="N21" s="99"/>
      <c r="O21" s="99"/>
    </row>
    <row r="22" spans="1:15" x14ac:dyDescent="0.2">
      <c r="A22" s="108"/>
      <c r="B22" s="109"/>
      <c r="C22" s="105"/>
      <c r="D22" s="106"/>
      <c r="E22" s="106"/>
      <c r="F22" s="105"/>
      <c r="G22" s="105"/>
      <c r="H22" s="105"/>
      <c r="I22" s="107"/>
      <c r="J22" s="107"/>
      <c r="K22" s="107"/>
      <c r="L22" s="107"/>
      <c r="M22" s="107"/>
      <c r="N22" s="107"/>
      <c r="O22" s="107"/>
    </row>
    <row r="23" spans="1:15" x14ac:dyDescent="0.2">
      <c r="A23" s="98"/>
      <c r="B23" s="102"/>
      <c r="C23" s="103"/>
      <c r="D23" s="104"/>
      <c r="E23" s="104"/>
      <c r="F23" s="103"/>
      <c r="G23" s="103"/>
      <c r="H23" s="103"/>
      <c r="I23" s="99"/>
      <c r="J23" s="99"/>
      <c r="K23" s="99"/>
      <c r="L23" s="99"/>
      <c r="M23" s="99"/>
      <c r="N23" s="99"/>
      <c r="O23" s="99"/>
    </row>
    <row r="24" spans="1:15" x14ac:dyDescent="0.2">
      <c r="A24" s="108"/>
      <c r="B24" s="109"/>
      <c r="C24" s="105"/>
      <c r="D24" s="106"/>
      <c r="E24" s="106"/>
      <c r="F24" s="105"/>
      <c r="G24" s="105"/>
      <c r="H24" s="105"/>
      <c r="I24" s="107"/>
      <c r="J24" s="107"/>
      <c r="K24" s="107"/>
      <c r="L24" s="107"/>
      <c r="M24" s="107"/>
      <c r="N24" s="107"/>
      <c r="O24" s="107"/>
    </row>
    <row r="25" spans="1:15" x14ac:dyDescent="0.2">
      <c r="A25" s="84"/>
      <c r="B25" s="84"/>
      <c r="C25" s="88"/>
      <c r="D25" s="89"/>
      <c r="E25" s="89"/>
      <c r="F25" s="88"/>
      <c r="G25" s="88"/>
      <c r="H25" s="88"/>
      <c r="I25" s="80"/>
      <c r="J25" s="80"/>
      <c r="K25" s="80"/>
      <c r="L25" s="80"/>
      <c r="M25" s="80"/>
      <c r="N25" s="80"/>
      <c r="O25" s="80"/>
    </row>
    <row r="26" spans="1:15" x14ac:dyDescent="0.2">
      <c r="A26" s="98"/>
      <c r="B26" s="102"/>
      <c r="C26" s="103"/>
      <c r="D26" s="104"/>
      <c r="E26" s="104"/>
      <c r="F26" s="103"/>
      <c r="G26" s="103"/>
      <c r="H26" s="103"/>
      <c r="I26" s="99"/>
      <c r="J26" s="99"/>
      <c r="K26" s="99"/>
      <c r="L26" s="99"/>
      <c r="M26" s="99"/>
      <c r="N26" s="99"/>
      <c r="O26" s="99"/>
    </row>
    <row r="27" spans="1:15" x14ac:dyDescent="0.2">
      <c r="A27" s="108"/>
      <c r="B27" s="109"/>
      <c r="C27" s="105"/>
      <c r="D27" s="106"/>
      <c r="E27" s="106"/>
      <c r="F27" s="105"/>
      <c r="G27" s="105"/>
      <c r="H27" s="105"/>
      <c r="I27" s="107"/>
      <c r="J27" s="107"/>
      <c r="K27" s="107"/>
      <c r="L27" s="107"/>
      <c r="M27" s="107"/>
      <c r="N27" s="107"/>
      <c r="O27" s="107"/>
    </row>
    <row r="28" spans="1:15" x14ac:dyDescent="0.2">
      <c r="A28" s="108"/>
      <c r="B28" s="109"/>
      <c r="C28" s="105"/>
      <c r="D28" s="106"/>
      <c r="E28" s="106"/>
      <c r="F28" s="105"/>
      <c r="G28" s="105"/>
      <c r="H28" s="105"/>
      <c r="I28" s="107"/>
      <c r="J28" s="107"/>
      <c r="K28" s="107"/>
      <c r="L28" s="107"/>
      <c r="M28" s="107"/>
      <c r="N28" s="107"/>
      <c r="O28" s="107"/>
    </row>
    <row r="29" spans="1:15" x14ac:dyDescent="0.2">
      <c r="A29" s="98"/>
      <c r="B29" s="102"/>
      <c r="C29" s="103"/>
      <c r="D29" s="104"/>
      <c r="E29" s="104"/>
      <c r="F29" s="103"/>
      <c r="G29" s="103"/>
      <c r="H29" s="103"/>
      <c r="I29" s="99"/>
      <c r="J29" s="99"/>
      <c r="K29" s="99"/>
      <c r="L29" s="99"/>
      <c r="M29" s="99"/>
      <c r="N29" s="99"/>
      <c r="O29" s="99"/>
    </row>
    <row r="30" spans="1:15" x14ac:dyDescent="0.2">
      <c r="A30" s="108"/>
      <c r="B30" s="109"/>
      <c r="C30" s="105"/>
      <c r="D30" s="106"/>
      <c r="E30" s="106"/>
      <c r="F30" s="105"/>
      <c r="G30" s="105"/>
      <c r="H30" s="105"/>
      <c r="I30" s="107"/>
      <c r="J30" s="107"/>
      <c r="K30" s="107"/>
      <c r="L30" s="107"/>
      <c r="M30" s="107"/>
      <c r="N30" s="107"/>
      <c r="O30" s="107"/>
    </row>
    <row r="31" spans="1:15" x14ac:dyDescent="0.2">
      <c r="A31" s="98"/>
      <c r="B31" s="102"/>
      <c r="C31" s="103"/>
      <c r="D31" s="104"/>
      <c r="E31" s="104"/>
      <c r="F31" s="103"/>
      <c r="G31" s="103"/>
      <c r="H31" s="103"/>
      <c r="I31" s="99"/>
      <c r="J31" s="99"/>
      <c r="K31" s="99"/>
      <c r="L31" s="99"/>
      <c r="M31" s="99"/>
      <c r="N31" s="99"/>
      <c r="O31" s="99"/>
    </row>
    <row r="32" spans="1:15" x14ac:dyDescent="0.2">
      <c r="A32" s="108"/>
      <c r="B32" s="109"/>
      <c r="C32" s="105"/>
      <c r="D32" s="106"/>
      <c r="E32" s="106"/>
      <c r="F32" s="105"/>
      <c r="G32" s="105"/>
      <c r="H32" s="105"/>
      <c r="I32" s="107"/>
      <c r="J32" s="107"/>
      <c r="K32" s="107"/>
      <c r="L32" s="107"/>
      <c r="M32" s="107"/>
      <c r="N32" s="107"/>
      <c r="O32" s="107"/>
    </row>
    <row r="33" spans="1:15" x14ac:dyDescent="0.2">
      <c r="A33" s="98"/>
      <c r="B33" s="102"/>
      <c r="C33" s="103"/>
      <c r="D33" s="104"/>
      <c r="E33" s="104"/>
      <c r="F33" s="103"/>
      <c r="G33" s="103"/>
      <c r="H33" s="103"/>
      <c r="I33" s="99"/>
      <c r="J33" s="99"/>
      <c r="K33" s="99"/>
      <c r="L33" s="99"/>
      <c r="M33" s="99"/>
      <c r="N33" s="99"/>
      <c r="O33" s="99"/>
    </row>
    <row r="34" spans="1:15" x14ac:dyDescent="0.2">
      <c r="A34" s="108"/>
      <c r="B34" s="109"/>
      <c r="C34" s="105"/>
      <c r="D34" s="106"/>
      <c r="E34" s="106"/>
      <c r="F34" s="105"/>
      <c r="G34" s="105"/>
      <c r="H34" s="105"/>
      <c r="I34" s="107"/>
      <c r="J34" s="107"/>
      <c r="K34" s="107"/>
      <c r="L34" s="107"/>
      <c r="M34" s="107"/>
      <c r="N34" s="107"/>
      <c r="O34" s="107"/>
    </row>
    <row r="35" spans="1:15" x14ac:dyDescent="0.2">
      <c r="A35" s="108"/>
      <c r="B35" s="109"/>
      <c r="C35" s="105"/>
      <c r="D35" s="106"/>
      <c r="E35" s="106"/>
      <c r="F35" s="105"/>
      <c r="G35" s="105"/>
      <c r="H35" s="105"/>
      <c r="I35" s="107"/>
      <c r="J35" s="107"/>
      <c r="K35" s="107"/>
      <c r="L35" s="107"/>
      <c r="M35" s="107"/>
      <c r="N35" s="107"/>
      <c r="O35" s="107"/>
    </row>
    <row r="36" spans="1:15" x14ac:dyDescent="0.2">
      <c r="A36" s="108"/>
      <c r="B36" s="109"/>
      <c r="C36" s="105"/>
      <c r="D36" s="106"/>
      <c r="E36" s="106"/>
      <c r="F36" s="105"/>
      <c r="G36" s="105"/>
      <c r="H36" s="105"/>
      <c r="I36" s="107"/>
      <c r="J36" s="107"/>
      <c r="K36" s="107"/>
      <c r="L36" s="107"/>
      <c r="M36" s="107"/>
      <c r="N36" s="107"/>
      <c r="O36" s="107"/>
    </row>
    <row r="37" spans="1:15" x14ac:dyDescent="0.2">
      <c r="A37" s="108"/>
      <c r="B37" s="109"/>
      <c r="C37" s="105"/>
      <c r="D37" s="106"/>
      <c r="E37" s="106"/>
      <c r="F37" s="105"/>
      <c r="G37" s="105"/>
      <c r="H37" s="105"/>
      <c r="I37" s="107"/>
      <c r="J37" s="107"/>
      <c r="K37" s="107"/>
      <c r="L37" s="107"/>
      <c r="M37" s="107"/>
      <c r="N37" s="107"/>
      <c r="O37" s="107"/>
    </row>
    <row r="38" spans="1:15" x14ac:dyDescent="0.2">
      <c r="A38" s="108"/>
      <c r="B38" s="109"/>
      <c r="C38" s="105"/>
      <c r="D38" s="106"/>
      <c r="E38" s="106"/>
      <c r="F38" s="105"/>
      <c r="G38" s="105"/>
      <c r="H38" s="105"/>
      <c r="I38" s="107"/>
      <c r="J38" s="107"/>
      <c r="K38" s="107"/>
      <c r="L38" s="107"/>
      <c r="M38" s="107"/>
      <c r="N38" s="107"/>
      <c r="O38" s="107"/>
    </row>
    <row r="39" spans="1:15" x14ac:dyDescent="0.2">
      <c r="A39" s="98"/>
      <c r="B39" s="102"/>
      <c r="C39" s="103"/>
      <c r="D39" s="104"/>
      <c r="E39" s="104"/>
      <c r="F39" s="103"/>
      <c r="G39" s="103"/>
      <c r="H39" s="103"/>
      <c r="I39" s="99"/>
      <c r="J39" s="99"/>
      <c r="K39" s="99"/>
      <c r="L39" s="99"/>
      <c r="M39" s="99"/>
      <c r="N39" s="99"/>
      <c r="O39" s="99"/>
    </row>
    <row r="40" spans="1:15" x14ac:dyDescent="0.2">
      <c r="A40" s="108"/>
      <c r="B40" s="109"/>
      <c r="C40" s="105"/>
      <c r="D40" s="106"/>
      <c r="E40" s="106"/>
      <c r="F40" s="105"/>
      <c r="G40" s="105"/>
      <c r="H40" s="105"/>
      <c r="I40" s="107"/>
      <c r="J40" s="107"/>
      <c r="K40" s="107"/>
      <c r="L40" s="107"/>
      <c r="M40" s="107"/>
      <c r="N40" s="107"/>
      <c r="O40" s="107"/>
    </row>
    <row r="41" spans="1:15" x14ac:dyDescent="0.2">
      <c r="A41" s="98"/>
      <c r="B41" s="102"/>
      <c r="C41" s="103"/>
      <c r="D41" s="104"/>
      <c r="E41" s="104"/>
      <c r="F41" s="103"/>
      <c r="G41" s="103"/>
      <c r="H41" s="103"/>
      <c r="I41" s="99"/>
      <c r="J41" s="99"/>
      <c r="K41" s="99"/>
      <c r="L41" s="99"/>
      <c r="M41" s="99"/>
      <c r="N41" s="99"/>
      <c r="O41" s="99"/>
    </row>
    <row r="42" spans="1:15" x14ac:dyDescent="0.2">
      <c r="A42" s="108"/>
      <c r="B42" s="109"/>
      <c r="C42" s="105"/>
      <c r="D42" s="106"/>
      <c r="E42" s="106"/>
      <c r="F42" s="105"/>
      <c r="G42" s="105"/>
      <c r="H42" s="105"/>
      <c r="I42" s="107"/>
      <c r="J42" s="107"/>
      <c r="K42" s="107"/>
      <c r="L42" s="107"/>
      <c r="M42" s="107"/>
      <c r="N42" s="107"/>
      <c r="O42" s="107"/>
    </row>
    <row r="43" spans="1:15" x14ac:dyDescent="0.2">
      <c r="A43" s="98"/>
      <c r="B43" s="102"/>
      <c r="C43" s="103"/>
      <c r="D43" s="103"/>
      <c r="E43" s="104"/>
      <c r="F43" s="103"/>
      <c r="G43" s="103"/>
      <c r="H43" s="103"/>
      <c r="I43" s="99"/>
      <c r="J43" s="99"/>
      <c r="K43" s="99"/>
      <c r="L43" s="99"/>
      <c r="M43" s="99"/>
      <c r="N43" s="99"/>
      <c r="O43" s="99"/>
    </row>
    <row r="44" spans="1:15" x14ac:dyDescent="0.2">
      <c r="A44" s="108"/>
      <c r="B44" s="109"/>
      <c r="C44" s="105"/>
      <c r="D44" s="105"/>
      <c r="E44" s="106"/>
      <c r="F44" s="105"/>
      <c r="G44" s="105"/>
      <c r="H44" s="105"/>
      <c r="I44" s="107"/>
      <c r="J44" s="107"/>
      <c r="K44" s="107"/>
      <c r="L44" s="107"/>
      <c r="M44" s="107"/>
      <c r="N44" s="107"/>
      <c r="O44" s="10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F17" sqref="F1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22"/>
      <c r="M1" s="122"/>
      <c r="N1" s="122"/>
      <c r="O1" s="122"/>
    </row>
    <row r="2" spans="1:15" ht="15.75" hidden="1" customHeight="1" x14ac:dyDescent="0.2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122"/>
      <c r="M2" s="122"/>
      <c r="N2" s="122"/>
      <c r="O2" s="122"/>
    </row>
    <row r="3" spans="1:15" ht="18" hidden="1" customHeight="1" x14ac:dyDescent="0.2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22"/>
      <c r="M3" s="122"/>
      <c r="N3" s="122"/>
      <c r="O3" s="122"/>
    </row>
    <row r="4" spans="1:15" ht="18" x14ac:dyDescent="0.2">
      <c r="A4" s="132"/>
      <c r="B4" s="132"/>
      <c r="C4" s="132"/>
      <c r="D4" s="132"/>
      <c r="E4" s="132"/>
      <c r="F4" s="132"/>
      <c r="G4" s="132"/>
      <c r="H4" s="132"/>
      <c r="I4" s="133"/>
      <c r="J4" s="133"/>
      <c r="K4" s="133"/>
      <c r="L4" s="122"/>
      <c r="M4" s="122"/>
      <c r="N4" s="122"/>
      <c r="O4" s="122"/>
    </row>
    <row r="5" spans="1:15" ht="15.75" customHeight="1" x14ac:dyDescent="0.2">
      <c r="A5" s="402" t="s">
        <v>254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122"/>
      <c r="M5" s="122"/>
      <c r="N5" s="122"/>
      <c r="O5" s="122"/>
    </row>
    <row r="6" spans="1:15" ht="18" x14ac:dyDescent="0.2">
      <c r="A6" s="132"/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22"/>
      <c r="M6" s="122"/>
      <c r="N6" s="122"/>
      <c r="O6" s="122"/>
    </row>
    <row r="7" spans="1:15" s="33" customFormat="1" ht="57" x14ac:dyDescent="0.25">
      <c r="A7" s="401" t="s">
        <v>3</v>
      </c>
      <c r="B7" s="401"/>
      <c r="C7" s="161" t="s">
        <v>589</v>
      </c>
      <c r="D7" s="161" t="s">
        <v>560</v>
      </c>
      <c r="E7" s="161" t="s">
        <v>561</v>
      </c>
      <c r="F7" s="161" t="s">
        <v>590</v>
      </c>
      <c r="G7" s="138" t="s">
        <v>260</v>
      </c>
      <c r="H7" s="138" t="s">
        <v>261</v>
      </c>
      <c r="I7" s="123"/>
      <c r="J7" s="123"/>
      <c r="K7" s="123"/>
      <c r="L7" s="123"/>
      <c r="M7" s="123"/>
      <c r="N7" s="123"/>
      <c r="O7" s="123"/>
    </row>
    <row r="8" spans="1:15" s="34" customFormat="1" x14ac:dyDescent="0.2">
      <c r="A8" s="400">
        <v>1</v>
      </c>
      <c r="B8" s="400"/>
      <c r="C8" s="139">
        <v>2</v>
      </c>
      <c r="D8" s="139">
        <v>3</v>
      </c>
      <c r="E8" s="139">
        <v>4.3333333333333304</v>
      </c>
      <c r="F8" s="139">
        <v>5.0833333333333304</v>
      </c>
      <c r="G8" s="139">
        <v>6</v>
      </c>
      <c r="H8" s="139">
        <v>7</v>
      </c>
      <c r="I8" s="126"/>
      <c r="J8" s="126"/>
      <c r="K8" s="126"/>
      <c r="L8" s="126"/>
      <c r="M8" s="124"/>
      <c r="N8" s="124"/>
      <c r="O8" s="124"/>
    </row>
    <row r="9" spans="1:15" ht="15" customHeight="1" x14ac:dyDescent="0.2">
      <c r="A9" s="128" t="s">
        <v>256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27"/>
      <c r="J9" s="127"/>
      <c r="K9" s="127"/>
      <c r="L9" s="127"/>
      <c r="M9" s="125"/>
      <c r="N9" s="125"/>
      <c r="O9" s="125"/>
    </row>
    <row r="10" spans="1:15" x14ac:dyDescent="0.2">
      <c r="A10" s="210" t="s">
        <v>77</v>
      </c>
      <c r="B10" s="211" t="s">
        <v>258</v>
      </c>
      <c r="C10" s="189">
        <f>+C11+C14</f>
        <v>0</v>
      </c>
      <c r="D10" s="190">
        <f>+D11+D14</f>
        <v>0</v>
      </c>
      <c r="E10" s="190">
        <f>+E11+E14</f>
        <v>0</v>
      </c>
      <c r="F10" s="189">
        <f>+F11+F14</f>
        <v>0</v>
      </c>
      <c r="G10" s="212" t="e">
        <f t="shared" ref="G10" si="0">+F10/C10*100</f>
        <v>#DIV/0!</v>
      </c>
      <c r="H10" s="212" t="e">
        <f t="shared" ref="H10" si="1">+F10/E10*100</f>
        <v>#DIV/0!</v>
      </c>
      <c r="I10" s="147"/>
      <c r="J10" s="147"/>
      <c r="K10" s="147"/>
      <c r="L10" s="147"/>
      <c r="M10" s="165"/>
      <c r="N10" s="165"/>
      <c r="O10" s="165"/>
    </row>
    <row r="11" spans="1:15" x14ac:dyDescent="0.2">
      <c r="A11" s="204" t="s">
        <v>79</v>
      </c>
      <c r="B11" s="205" t="s">
        <v>497</v>
      </c>
      <c r="C11" s="208">
        <f>+C12</f>
        <v>0</v>
      </c>
      <c r="D11" s="216"/>
      <c r="E11" s="216"/>
      <c r="F11" s="208">
        <f>+F12</f>
        <v>0</v>
      </c>
      <c r="G11" s="208" t="e">
        <f t="shared" ref="G11:G36" si="2">+F11/C11*100</f>
        <v>#DIV/0!</v>
      </c>
      <c r="H11" s="208" t="e">
        <f t="shared" ref="H11:H36" si="3">+F11/E11*100</f>
        <v>#DIV/0!</v>
      </c>
      <c r="I11" s="153"/>
      <c r="J11" s="153"/>
      <c r="K11" s="153"/>
      <c r="L11" s="153"/>
      <c r="M11" s="168"/>
      <c r="N11" s="168"/>
      <c r="O11" s="168"/>
    </row>
    <row r="12" spans="1:15" x14ac:dyDescent="0.2">
      <c r="A12" s="203" t="s">
        <v>498</v>
      </c>
      <c r="B12" s="179" t="s">
        <v>499</v>
      </c>
      <c r="C12" s="206">
        <f>+C13</f>
        <v>0</v>
      </c>
      <c r="D12" s="207"/>
      <c r="E12" s="207"/>
      <c r="F12" s="206">
        <f t="shared" ref="F12" si="4">+F13</f>
        <v>0</v>
      </c>
      <c r="G12" s="177" t="e">
        <f t="shared" si="2"/>
        <v>#DIV/0!</v>
      </c>
      <c r="H12" s="177" t="e">
        <f t="shared" si="3"/>
        <v>#DIV/0!</v>
      </c>
      <c r="I12" s="153"/>
      <c r="J12" s="153"/>
      <c r="K12" s="153"/>
      <c r="L12" s="153"/>
      <c r="M12" s="168"/>
      <c r="N12" s="168"/>
      <c r="O12" s="168"/>
    </row>
    <row r="13" spans="1:15" ht="25.5" x14ac:dyDescent="0.2">
      <c r="A13" s="140" t="s">
        <v>500</v>
      </c>
      <c r="B13" s="137" t="s">
        <v>501</v>
      </c>
      <c r="C13" s="134">
        <v>0</v>
      </c>
      <c r="D13" s="207"/>
      <c r="E13" s="207"/>
      <c r="F13" s="173"/>
      <c r="G13" s="173" t="e">
        <f t="shared" si="2"/>
        <v>#DIV/0!</v>
      </c>
      <c r="H13" s="173" t="e">
        <f t="shared" si="3"/>
        <v>#DIV/0!</v>
      </c>
      <c r="I13" s="135"/>
      <c r="J13" s="135"/>
      <c r="K13" s="135"/>
      <c r="L13" s="135"/>
      <c r="M13" s="136"/>
      <c r="N13" s="136"/>
      <c r="O13" s="136"/>
    </row>
    <row r="14" spans="1:15" x14ac:dyDescent="0.2">
      <c r="A14" s="204" t="s">
        <v>502</v>
      </c>
      <c r="B14" s="205" t="s">
        <v>503</v>
      </c>
      <c r="C14" s="208">
        <f>+C15</f>
        <v>0</v>
      </c>
      <c r="D14" s="216">
        <v>0</v>
      </c>
      <c r="E14" s="216">
        <v>0</v>
      </c>
      <c r="F14" s="208">
        <f>+F15</f>
        <v>0</v>
      </c>
      <c r="G14" s="208" t="e">
        <f t="shared" si="2"/>
        <v>#DIV/0!</v>
      </c>
      <c r="H14" s="208" t="e">
        <f t="shared" si="3"/>
        <v>#DIV/0!</v>
      </c>
      <c r="I14" s="153"/>
      <c r="J14" s="153"/>
      <c r="K14" s="153"/>
      <c r="L14" s="153"/>
      <c r="M14" s="168"/>
      <c r="N14" s="168"/>
      <c r="O14" s="168"/>
    </row>
    <row r="15" spans="1:15" ht="25.5" x14ac:dyDescent="0.2">
      <c r="A15" s="203" t="s">
        <v>504</v>
      </c>
      <c r="B15" s="179" t="s">
        <v>505</v>
      </c>
      <c r="C15" s="206">
        <f>+C16</f>
        <v>0</v>
      </c>
      <c r="D15" s="207"/>
      <c r="E15" s="207"/>
      <c r="F15" s="206">
        <f t="shared" ref="F15" si="5">+F16</f>
        <v>0</v>
      </c>
      <c r="G15" s="177" t="e">
        <f t="shared" si="2"/>
        <v>#DIV/0!</v>
      </c>
      <c r="H15" s="177" t="e">
        <f t="shared" si="3"/>
        <v>#DIV/0!</v>
      </c>
      <c r="I15" s="153"/>
      <c r="J15" s="153"/>
      <c r="K15" s="153"/>
      <c r="L15" s="153"/>
      <c r="M15" s="168"/>
      <c r="N15" s="168"/>
      <c r="O15" s="168"/>
    </row>
    <row r="16" spans="1:15" ht="25.5" x14ac:dyDescent="0.2">
      <c r="A16" s="140" t="s">
        <v>506</v>
      </c>
      <c r="B16" s="137" t="s">
        <v>507</v>
      </c>
      <c r="C16" s="134">
        <v>0</v>
      </c>
      <c r="D16" s="207"/>
      <c r="E16" s="207"/>
      <c r="F16" s="173">
        <v>0</v>
      </c>
      <c r="G16" s="173" t="e">
        <f t="shared" si="2"/>
        <v>#DIV/0!</v>
      </c>
      <c r="H16" s="173" t="e">
        <f t="shared" si="3"/>
        <v>#DIV/0!</v>
      </c>
      <c r="I16" s="135"/>
      <c r="J16" s="135"/>
      <c r="K16" s="135"/>
      <c r="L16" s="135"/>
      <c r="M16" s="136"/>
      <c r="N16" s="136"/>
      <c r="O16" s="136"/>
    </row>
    <row r="17" spans="1:15" x14ac:dyDescent="0.2">
      <c r="A17" s="210" t="s">
        <v>62</v>
      </c>
      <c r="B17" s="211" t="s">
        <v>509</v>
      </c>
      <c r="C17" s="189">
        <f>+C18+C27+C32</f>
        <v>0</v>
      </c>
      <c r="D17" s="190">
        <f>+D18+D27+D32</f>
        <v>0</v>
      </c>
      <c r="E17" s="190">
        <f>+E18+E27+E32</f>
        <v>0</v>
      </c>
      <c r="F17" s="189">
        <f>+F18+F27+F32</f>
        <v>300</v>
      </c>
      <c r="G17" s="212" t="e">
        <f t="shared" si="2"/>
        <v>#DIV/0!</v>
      </c>
      <c r="H17" s="212" t="e">
        <f t="shared" si="3"/>
        <v>#DIV/0!</v>
      </c>
      <c r="I17" s="130"/>
      <c r="J17" s="130"/>
      <c r="K17" s="130"/>
      <c r="L17" s="130"/>
      <c r="M17" s="129"/>
      <c r="N17" s="129"/>
      <c r="O17" s="129"/>
    </row>
    <row r="18" spans="1:15" x14ac:dyDescent="0.2">
      <c r="A18" s="204" t="s">
        <v>64</v>
      </c>
      <c r="B18" s="205" t="s">
        <v>510</v>
      </c>
      <c r="C18" s="213">
        <f>+C19+C22+C24</f>
        <v>0</v>
      </c>
      <c r="D18" s="216">
        <v>0</v>
      </c>
      <c r="E18" s="216">
        <v>0</v>
      </c>
      <c r="F18" s="213">
        <f>+F19+F22+F24</f>
        <v>300</v>
      </c>
      <c r="G18" s="208" t="e">
        <f t="shared" si="2"/>
        <v>#DIV/0!</v>
      </c>
      <c r="H18" s="208" t="e">
        <f t="shared" si="3"/>
        <v>#DIV/0!</v>
      </c>
      <c r="I18" s="153"/>
      <c r="J18" s="153"/>
      <c r="K18" s="153"/>
      <c r="L18" s="153"/>
      <c r="M18" s="168"/>
      <c r="N18" s="168"/>
      <c r="O18" s="168"/>
    </row>
    <row r="19" spans="1:15" ht="25.5" x14ac:dyDescent="0.2">
      <c r="A19" s="203">
        <v>512</v>
      </c>
      <c r="B19" s="179" t="s">
        <v>546</v>
      </c>
      <c r="C19" s="206">
        <f>+C20+C21</f>
        <v>0</v>
      </c>
      <c r="D19" s="207"/>
      <c r="E19" s="207"/>
      <c r="F19" s="206">
        <f>+F20+F21</f>
        <v>0</v>
      </c>
      <c r="G19" s="206" t="e">
        <f t="shared" ref="G19:G26" si="6">+F19/C19*100</f>
        <v>#DIV/0!</v>
      </c>
      <c r="H19" s="206" t="e">
        <f t="shared" ref="H19:H26" si="7">+F19/E19*100</f>
        <v>#DIV/0!</v>
      </c>
      <c r="I19" s="153"/>
      <c r="J19" s="153"/>
      <c r="K19" s="153"/>
      <c r="L19" s="153"/>
      <c r="M19" s="168"/>
      <c r="N19" s="168"/>
      <c r="O19" s="168"/>
    </row>
    <row r="20" spans="1:15" ht="25.5" x14ac:dyDescent="0.2">
      <c r="A20" s="171">
        <v>5121</v>
      </c>
      <c r="B20" s="169" t="s">
        <v>547</v>
      </c>
      <c r="C20" s="172">
        <v>0</v>
      </c>
      <c r="D20" s="207"/>
      <c r="E20" s="207"/>
      <c r="F20" s="173">
        <v>0</v>
      </c>
      <c r="G20" s="173" t="e">
        <f t="shared" si="6"/>
        <v>#DIV/0!</v>
      </c>
      <c r="H20" s="173" t="e">
        <f t="shared" si="7"/>
        <v>#DIV/0!</v>
      </c>
      <c r="I20" s="153"/>
      <c r="J20" s="153"/>
      <c r="K20" s="153"/>
      <c r="L20" s="153"/>
      <c r="M20" s="168"/>
      <c r="N20" s="168"/>
      <c r="O20" s="168"/>
    </row>
    <row r="21" spans="1:15" ht="25.5" x14ac:dyDescent="0.2">
      <c r="A21" s="171">
        <v>5122</v>
      </c>
      <c r="B21" s="169" t="s">
        <v>548</v>
      </c>
      <c r="C21" s="172">
        <v>0</v>
      </c>
      <c r="D21" s="207"/>
      <c r="E21" s="207"/>
      <c r="F21" s="173">
        <v>0</v>
      </c>
      <c r="G21" s="173" t="e">
        <f t="shared" si="6"/>
        <v>#DIV/0!</v>
      </c>
      <c r="H21" s="173" t="e">
        <f t="shared" si="7"/>
        <v>#DIV/0!</v>
      </c>
      <c r="I21" s="153"/>
      <c r="J21" s="153"/>
      <c r="K21" s="153"/>
      <c r="L21" s="153"/>
      <c r="M21" s="168"/>
      <c r="N21" s="168"/>
      <c r="O21" s="168"/>
    </row>
    <row r="22" spans="1:15" x14ac:dyDescent="0.2">
      <c r="A22" s="203">
        <v>514</v>
      </c>
      <c r="B22" s="179" t="s">
        <v>549</v>
      </c>
      <c r="C22" s="206">
        <f>+C23</f>
        <v>0</v>
      </c>
      <c r="D22" s="207"/>
      <c r="E22" s="207"/>
      <c r="F22" s="206">
        <f t="shared" ref="F22" si="8">+F23</f>
        <v>0</v>
      </c>
      <c r="G22" s="206" t="e">
        <f t="shared" si="6"/>
        <v>#DIV/0!</v>
      </c>
      <c r="H22" s="206" t="e">
        <f t="shared" si="7"/>
        <v>#DIV/0!</v>
      </c>
      <c r="I22" s="153"/>
      <c r="J22" s="153"/>
      <c r="K22" s="153"/>
      <c r="L22" s="153"/>
      <c r="M22" s="168"/>
      <c r="N22" s="168"/>
      <c r="O22" s="168"/>
    </row>
    <row r="23" spans="1:15" x14ac:dyDescent="0.2">
      <c r="A23" s="171">
        <v>5141</v>
      </c>
      <c r="B23" s="169" t="s">
        <v>550</v>
      </c>
      <c r="C23" s="172">
        <v>0</v>
      </c>
      <c r="D23" s="207"/>
      <c r="E23" s="207"/>
      <c r="F23" s="173">
        <v>0</v>
      </c>
      <c r="G23" s="173" t="e">
        <f t="shared" si="6"/>
        <v>#DIV/0!</v>
      </c>
      <c r="H23" s="173" t="e">
        <f t="shared" si="7"/>
        <v>#DIV/0!</v>
      </c>
      <c r="I23" s="153"/>
      <c r="J23" s="153"/>
      <c r="K23" s="153"/>
      <c r="L23" s="153"/>
      <c r="M23" s="168"/>
      <c r="N23" s="168"/>
      <c r="O23" s="168"/>
    </row>
    <row r="24" spans="1:15" x14ac:dyDescent="0.2">
      <c r="A24" s="203">
        <v>518</v>
      </c>
      <c r="B24" s="179" t="s">
        <v>551</v>
      </c>
      <c r="C24" s="206">
        <f>+C25+C26</f>
        <v>0</v>
      </c>
      <c r="D24" s="207"/>
      <c r="E24" s="207"/>
      <c r="F24" s="206">
        <f>+F25+F26</f>
        <v>300</v>
      </c>
      <c r="G24" s="206" t="e">
        <f t="shared" si="6"/>
        <v>#DIV/0!</v>
      </c>
      <c r="H24" s="206" t="e">
        <f t="shared" si="7"/>
        <v>#DIV/0!</v>
      </c>
      <c r="I24" s="153"/>
      <c r="J24" s="153"/>
      <c r="K24" s="153"/>
      <c r="L24" s="153"/>
      <c r="M24" s="168"/>
      <c r="N24" s="168"/>
      <c r="O24" s="168"/>
    </row>
    <row r="25" spans="1:15" ht="25.5" x14ac:dyDescent="0.2">
      <c r="A25" s="171">
        <v>5181</v>
      </c>
      <c r="B25" s="169" t="s">
        <v>552</v>
      </c>
      <c r="C25" s="172">
        <v>0</v>
      </c>
      <c r="D25" s="207"/>
      <c r="E25" s="207"/>
      <c r="F25" s="173">
        <v>0</v>
      </c>
      <c r="G25" s="173" t="e">
        <f t="shared" si="6"/>
        <v>#DIV/0!</v>
      </c>
      <c r="H25" s="173" t="e">
        <f t="shared" si="7"/>
        <v>#DIV/0!</v>
      </c>
      <c r="I25" s="153"/>
      <c r="J25" s="153"/>
      <c r="K25" s="153"/>
      <c r="L25" s="153"/>
      <c r="M25" s="168"/>
      <c r="N25" s="168"/>
      <c r="O25" s="168"/>
    </row>
    <row r="26" spans="1:15" x14ac:dyDescent="0.2">
      <c r="A26" s="171">
        <v>5183</v>
      </c>
      <c r="B26" s="169" t="s">
        <v>553</v>
      </c>
      <c r="C26" s="172">
        <v>0</v>
      </c>
      <c r="D26" s="207"/>
      <c r="E26" s="207"/>
      <c r="F26" s="173">
        <v>300</v>
      </c>
      <c r="G26" s="173" t="e">
        <f t="shared" si="6"/>
        <v>#DIV/0!</v>
      </c>
      <c r="H26" s="173" t="e">
        <f t="shared" si="7"/>
        <v>#DIV/0!</v>
      </c>
      <c r="I26" s="153"/>
      <c r="J26" s="153"/>
      <c r="K26" s="153"/>
      <c r="L26" s="153"/>
      <c r="M26" s="168"/>
      <c r="N26" s="168"/>
      <c r="O26" s="168"/>
    </row>
    <row r="27" spans="1:15" x14ac:dyDescent="0.2">
      <c r="A27" s="204" t="s">
        <v>511</v>
      </c>
      <c r="B27" s="205" t="s">
        <v>512</v>
      </c>
      <c r="C27" s="213">
        <f>+C28+C30</f>
        <v>0</v>
      </c>
      <c r="D27" s="216">
        <v>0</v>
      </c>
      <c r="E27" s="216">
        <v>0</v>
      </c>
      <c r="F27" s="213">
        <f>+F28+F30</f>
        <v>0</v>
      </c>
      <c r="G27" s="208" t="e">
        <f t="shared" si="2"/>
        <v>#DIV/0!</v>
      </c>
      <c r="H27" s="208" t="e">
        <f t="shared" si="3"/>
        <v>#DIV/0!</v>
      </c>
      <c r="I27" s="153"/>
      <c r="J27" s="153"/>
      <c r="K27" s="153"/>
      <c r="L27" s="153"/>
      <c r="M27" s="168"/>
      <c r="N27" s="168"/>
      <c r="O27" s="168"/>
    </row>
    <row r="28" spans="1:15" ht="25.5" x14ac:dyDescent="0.2">
      <c r="A28" s="203" t="s">
        <v>513</v>
      </c>
      <c r="B28" s="179" t="s">
        <v>514</v>
      </c>
      <c r="C28" s="206">
        <f>+C29</f>
        <v>0</v>
      </c>
      <c r="D28" s="207"/>
      <c r="E28" s="207"/>
      <c r="F28" s="206">
        <f t="shared" ref="F28" si="9">+F29</f>
        <v>0</v>
      </c>
      <c r="G28" s="177" t="e">
        <f t="shared" si="2"/>
        <v>#DIV/0!</v>
      </c>
      <c r="H28" s="177" t="e">
        <f t="shared" si="3"/>
        <v>#DIV/0!</v>
      </c>
      <c r="I28" s="153"/>
      <c r="J28" s="153"/>
      <c r="K28" s="153"/>
      <c r="L28" s="153"/>
      <c r="M28" s="168"/>
      <c r="N28" s="168"/>
      <c r="O28" s="168"/>
    </row>
    <row r="29" spans="1:15" ht="25.5" x14ac:dyDescent="0.2">
      <c r="A29" s="140" t="s">
        <v>515</v>
      </c>
      <c r="B29" s="137" t="s">
        <v>514</v>
      </c>
      <c r="C29" s="141">
        <v>0</v>
      </c>
      <c r="D29" s="207"/>
      <c r="E29" s="207"/>
      <c r="F29" s="173">
        <v>0</v>
      </c>
      <c r="G29" s="173" t="e">
        <f t="shared" si="2"/>
        <v>#DIV/0!</v>
      </c>
      <c r="H29" s="173" t="e">
        <f t="shared" si="3"/>
        <v>#DIV/0!</v>
      </c>
      <c r="I29" s="135"/>
      <c r="J29" s="135"/>
      <c r="K29" s="135"/>
      <c r="L29" s="135"/>
      <c r="M29" s="136"/>
      <c r="N29" s="136"/>
      <c r="O29" s="136"/>
    </row>
    <row r="30" spans="1:15" ht="25.5" x14ac:dyDescent="0.2">
      <c r="A30" s="203" t="s">
        <v>516</v>
      </c>
      <c r="B30" s="179" t="s">
        <v>517</v>
      </c>
      <c r="C30" s="206">
        <f>+C31</f>
        <v>0</v>
      </c>
      <c r="D30" s="207"/>
      <c r="E30" s="207"/>
      <c r="F30" s="206">
        <f t="shared" ref="F30" si="10">+F31</f>
        <v>0</v>
      </c>
      <c r="G30" s="177" t="e">
        <f t="shared" si="2"/>
        <v>#DIV/0!</v>
      </c>
      <c r="H30" s="177" t="e">
        <f t="shared" si="3"/>
        <v>#DIV/0!</v>
      </c>
      <c r="I30" s="153"/>
      <c r="J30" s="153"/>
      <c r="K30" s="153"/>
      <c r="L30" s="153"/>
      <c r="M30" s="168"/>
      <c r="N30" s="168"/>
      <c r="O30" s="168"/>
    </row>
    <row r="31" spans="1:15" ht="25.5" x14ac:dyDescent="0.2">
      <c r="A31" s="140" t="s">
        <v>518</v>
      </c>
      <c r="B31" s="137" t="s">
        <v>519</v>
      </c>
      <c r="C31" s="134">
        <v>0</v>
      </c>
      <c r="D31" s="207"/>
      <c r="E31" s="207"/>
      <c r="F31" s="173">
        <v>0</v>
      </c>
      <c r="G31" s="173" t="e">
        <f t="shared" si="2"/>
        <v>#DIV/0!</v>
      </c>
      <c r="H31" s="173" t="e">
        <f t="shared" si="3"/>
        <v>#DIV/0!</v>
      </c>
      <c r="I31" s="135"/>
      <c r="J31" s="135"/>
      <c r="K31" s="135"/>
      <c r="L31" s="135"/>
      <c r="M31" s="136"/>
      <c r="N31" s="136"/>
      <c r="O31" s="136"/>
    </row>
    <row r="32" spans="1:15" x14ac:dyDescent="0.2">
      <c r="A32" s="204" t="s">
        <v>520</v>
      </c>
      <c r="B32" s="205" t="s">
        <v>521</v>
      </c>
      <c r="C32" s="208">
        <f>+C33+C35</f>
        <v>0</v>
      </c>
      <c r="D32" s="216">
        <v>0</v>
      </c>
      <c r="E32" s="216">
        <v>0</v>
      </c>
      <c r="F32" s="208">
        <f>+F33+F35</f>
        <v>0</v>
      </c>
      <c r="G32" s="208" t="e">
        <f>+F32/C32*100</f>
        <v>#DIV/0!</v>
      </c>
      <c r="H32" s="208" t="e">
        <f t="shared" si="3"/>
        <v>#DIV/0!</v>
      </c>
      <c r="I32" s="135"/>
      <c r="J32" s="135"/>
      <c r="K32" s="135"/>
      <c r="L32" s="135"/>
      <c r="M32" s="136"/>
      <c r="N32" s="136"/>
      <c r="O32" s="136"/>
    </row>
    <row r="33" spans="1:15" ht="25.5" x14ac:dyDescent="0.2">
      <c r="A33" s="203" t="s">
        <v>522</v>
      </c>
      <c r="B33" s="179" t="s">
        <v>523</v>
      </c>
      <c r="C33" s="206">
        <f>+C34</f>
        <v>0</v>
      </c>
      <c r="D33" s="207"/>
      <c r="E33" s="207"/>
      <c r="F33" s="206">
        <f t="shared" ref="F33" si="11">+F34</f>
        <v>0</v>
      </c>
      <c r="G33" s="177" t="e">
        <f t="shared" si="2"/>
        <v>#DIV/0!</v>
      </c>
      <c r="H33" s="177" t="e">
        <f t="shared" si="3"/>
        <v>#DIV/0!</v>
      </c>
      <c r="I33" s="135"/>
      <c r="J33" s="135"/>
      <c r="K33" s="135"/>
      <c r="L33" s="135"/>
      <c r="M33" s="136"/>
      <c r="N33" s="136"/>
      <c r="O33" s="136"/>
    </row>
    <row r="34" spans="1:15" ht="25.5" x14ac:dyDescent="0.2">
      <c r="A34" s="140" t="s">
        <v>524</v>
      </c>
      <c r="B34" s="137" t="s">
        <v>525</v>
      </c>
      <c r="C34" s="134">
        <v>0</v>
      </c>
      <c r="D34" s="207"/>
      <c r="E34" s="207"/>
      <c r="F34" s="173">
        <v>0</v>
      </c>
      <c r="G34" s="173" t="e">
        <f t="shared" si="2"/>
        <v>#DIV/0!</v>
      </c>
      <c r="H34" s="173" t="e">
        <f t="shared" si="3"/>
        <v>#DIV/0!</v>
      </c>
      <c r="I34" s="136"/>
      <c r="J34" s="136"/>
      <c r="K34" s="136"/>
      <c r="L34" s="136"/>
      <c r="M34" s="136"/>
      <c r="N34" s="136"/>
      <c r="O34" s="136"/>
    </row>
    <row r="35" spans="1:15" ht="25.5" x14ac:dyDescent="0.2">
      <c r="A35" s="203" t="s">
        <v>526</v>
      </c>
      <c r="B35" s="179" t="s">
        <v>527</v>
      </c>
      <c r="C35" s="206">
        <f>+C36</f>
        <v>0</v>
      </c>
      <c r="D35" s="207"/>
      <c r="E35" s="207"/>
      <c r="F35" s="206">
        <f t="shared" ref="F35" si="12">+F36</f>
        <v>0</v>
      </c>
      <c r="G35" s="206" t="e">
        <f t="shared" si="2"/>
        <v>#DIV/0!</v>
      </c>
      <c r="H35" s="206" t="e">
        <f t="shared" si="3"/>
        <v>#DIV/0!</v>
      </c>
      <c r="I35" s="136"/>
      <c r="J35" s="136"/>
      <c r="K35" s="136"/>
      <c r="L35" s="136"/>
      <c r="M35" s="136"/>
      <c r="N35" s="136"/>
      <c r="O35" s="136"/>
    </row>
    <row r="36" spans="1:15" ht="25.5" x14ac:dyDescent="0.2">
      <c r="A36" s="140" t="s">
        <v>528</v>
      </c>
      <c r="B36" s="137" t="s">
        <v>529</v>
      </c>
      <c r="C36" s="134">
        <v>0</v>
      </c>
      <c r="D36" s="207"/>
      <c r="E36" s="207"/>
      <c r="F36" s="173">
        <v>0</v>
      </c>
      <c r="G36" s="173" t="e">
        <f t="shared" si="2"/>
        <v>#DIV/0!</v>
      </c>
      <c r="H36" s="173" t="e">
        <f t="shared" si="3"/>
        <v>#DIV/0!</v>
      </c>
      <c r="I36" s="136"/>
      <c r="J36" s="136"/>
      <c r="K36" s="136"/>
      <c r="L36" s="136"/>
      <c r="M36" s="136"/>
      <c r="N36" s="136"/>
      <c r="O36" s="13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B12" sqref="B12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2"/>
      <c r="M1" s="142"/>
      <c r="N1" s="142"/>
      <c r="O1" s="142"/>
    </row>
    <row r="2" spans="1:15" ht="15.75" hidden="1" customHeight="1" x14ac:dyDescent="0.2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142"/>
      <c r="M2" s="142"/>
      <c r="N2" s="142"/>
      <c r="O2" s="142"/>
    </row>
    <row r="3" spans="1:15" ht="18" hidden="1" customHeight="1" x14ac:dyDescent="0.2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42"/>
      <c r="M3" s="142"/>
      <c r="N3" s="142"/>
      <c r="O3" s="142"/>
    </row>
    <row r="4" spans="1:15" ht="18" x14ac:dyDescent="0.2">
      <c r="A4" s="149"/>
      <c r="B4" s="149"/>
      <c r="C4" s="149"/>
      <c r="D4" s="149"/>
      <c r="E4" s="149"/>
      <c r="F4" s="149"/>
      <c r="G4" s="149"/>
      <c r="H4" s="149"/>
      <c r="I4" s="150"/>
      <c r="J4" s="150"/>
      <c r="K4" s="150"/>
      <c r="L4" s="142"/>
      <c r="M4" s="142"/>
      <c r="N4" s="142"/>
      <c r="O4" s="142"/>
    </row>
    <row r="5" spans="1:15" ht="15.75" customHeight="1" x14ac:dyDescent="0.2">
      <c r="A5" s="402" t="s">
        <v>259</v>
      </c>
      <c r="B5" s="402"/>
      <c r="C5" s="402"/>
      <c r="D5" s="402"/>
      <c r="E5" s="402"/>
      <c r="F5" s="402"/>
      <c r="G5" s="402"/>
      <c r="H5" s="402"/>
      <c r="I5" s="38"/>
      <c r="J5" s="38"/>
      <c r="K5" s="38"/>
      <c r="L5" s="142"/>
      <c r="M5" s="142"/>
      <c r="N5" s="142"/>
      <c r="O5" s="142"/>
    </row>
    <row r="6" spans="1:15" ht="18" x14ac:dyDescent="0.2">
      <c r="A6" s="149"/>
      <c r="B6" s="149"/>
      <c r="C6" s="149"/>
      <c r="D6" s="149"/>
      <c r="E6" s="149"/>
      <c r="F6" s="149"/>
      <c r="G6" s="149"/>
      <c r="H6" s="149"/>
      <c r="I6" s="150"/>
      <c r="J6" s="150"/>
      <c r="K6" s="150"/>
      <c r="L6" s="142"/>
      <c r="M6" s="142"/>
      <c r="N6" s="142"/>
      <c r="O6" s="142"/>
    </row>
    <row r="7" spans="1:15" s="33" customFormat="1" ht="57" x14ac:dyDescent="0.25">
      <c r="A7" s="401" t="s">
        <v>3</v>
      </c>
      <c r="B7" s="401"/>
      <c r="C7" s="161" t="s">
        <v>589</v>
      </c>
      <c r="D7" s="161" t="s">
        <v>560</v>
      </c>
      <c r="E7" s="161" t="s">
        <v>561</v>
      </c>
      <c r="F7" s="161" t="s">
        <v>590</v>
      </c>
      <c r="G7" s="156" t="s">
        <v>260</v>
      </c>
      <c r="H7" s="156" t="s">
        <v>261</v>
      </c>
      <c r="I7" s="143"/>
      <c r="J7" s="143"/>
      <c r="K7" s="143"/>
      <c r="L7" s="143"/>
      <c r="M7" s="143"/>
      <c r="N7" s="143"/>
      <c r="O7" s="143"/>
    </row>
    <row r="8" spans="1:15" s="34" customFormat="1" x14ac:dyDescent="0.2">
      <c r="A8" s="400">
        <v>1</v>
      </c>
      <c r="B8" s="400"/>
      <c r="C8" s="157">
        <v>2</v>
      </c>
      <c r="D8" s="157">
        <v>3</v>
      </c>
      <c r="E8" s="157">
        <v>4.3333333333333304</v>
      </c>
      <c r="F8" s="157">
        <v>5.0833333333333304</v>
      </c>
      <c r="G8" s="157">
        <v>6</v>
      </c>
      <c r="H8" s="157">
        <v>7</v>
      </c>
      <c r="I8" s="145"/>
      <c r="J8" s="145"/>
      <c r="K8" s="145"/>
      <c r="L8" s="145"/>
      <c r="M8" s="144"/>
      <c r="N8" s="144"/>
      <c r="O8" s="144"/>
    </row>
    <row r="9" spans="1:15" ht="12.75" customHeight="1" x14ac:dyDescent="0.2">
      <c r="A9" s="158" t="s">
        <v>256</v>
      </c>
      <c r="B9" s="158" t="s">
        <v>26</v>
      </c>
      <c r="C9" s="159" t="s">
        <v>28</v>
      </c>
      <c r="D9" s="159" t="s">
        <v>28</v>
      </c>
      <c r="E9" s="159" t="s">
        <v>28</v>
      </c>
      <c r="F9" s="159" t="s">
        <v>28</v>
      </c>
      <c r="G9" s="159" t="s">
        <v>26</v>
      </c>
      <c r="H9" s="159" t="s">
        <v>26</v>
      </c>
      <c r="I9" s="153"/>
      <c r="J9" s="153"/>
      <c r="K9" s="153"/>
      <c r="L9" s="153"/>
      <c r="M9" s="154"/>
      <c r="N9" s="154"/>
      <c r="O9" s="154"/>
    </row>
    <row r="10" spans="1:15" x14ac:dyDescent="0.2">
      <c r="A10" s="204" t="s">
        <v>257</v>
      </c>
      <c r="B10" s="205" t="s">
        <v>26</v>
      </c>
      <c r="C10" s="208">
        <f t="shared" ref="C10:F11" si="0">+C11</f>
        <v>0</v>
      </c>
      <c r="D10" s="209">
        <f t="shared" si="0"/>
        <v>0</v>
      </c>
      <c r="E10" s="209">
        <f t="shared" si="0"/>
        <v>0</v>
      </c>
      <c r="F10" s="208">
        <f t="shared" si="0"/>
        <v>0</v>
      </c>
      <c r="G10" s="208" t="e">
        <f t="shared" ref="G10:G19" si="1">+F10/C10*100</f>
        <v>#DIV/0!</v>
      </c>
      <c r="H10" s="208" t="e">
        <f t="shared" ref="H10:H19" si="2">+F10/E10*100</f>
        <v>#DIV/0!</v>
      </c>
      <c r="I10" s="153"/>
      <c r="J10" s="153"/>
      <c r="K10" s="153"/>
      <c r="L10" s="153"/>
      <c r="M10" s="168"/>
      <c r="N10" s="168"/>
      <c r="O10" s="168"/>
    </row>
    <row r="11" spans="1:15" x14ac:dyDescent="0.2">
      <c r="A11" s="203" t="s">
        <v>57</v>
      </c>
      <c r="B11" s="179" t="s">
        <v>58</v>
      </c>
      <c r="C11" s="206">
        <f t="shared" si="0"/>
        <v>0</v>
      </c>
      <c r="D11" s="207">
        <f t="shared" si="0"/>
        <v>0</v>
      </c>
      <c r="E11" s="207">
        <f t="shared" si="0"/>
        <v>0</v>
      </c>
      <c r="F11" s="206">
        <f t="shared" si="0"/>
        <v>0</v>
      </c>
      <c r="G11" s="206" t="e">
        <f t="shared" si="1"/>
        <v>#DIV/0!</v>
      </c>
      <c r="H11" s="206" t="e">
        <f t="shared" si="2"/>
        <v>#DIV/0!</v>
      </c>
      <c r="I11" s="153"/>
      <c r="J11" s="153"/>
      <c r="K11" s="153"/>
      <c r="L11" s="153"/>
      <c r="M11" s="168"/>
      <c r="N11" s="168"/>
      <c r="O11" s="168"/>
    </row>
    <row r="12" spans="1:15" x14ac:dyDescent="0.2">
      <c r="A12" s="171" t="s">
        <v>60</v>
      </c>
      <c r="B12" s="155" t="s">
        <v>61</v>
      </c>
      <c r="C12" s="151"/>
      <c r="D12" s="152"/>
      <c r="E12" s="152"/>
      <c r="F12" s="151"/>
      <c r="G12" s="173" t="e">
        <f t="shared" si="1"/>
        <v>#DIV/0!</v>
      </c>
      <c r="H12" s="173" t="e">
        <f t="shared" si="2"/>
        <v>#DIV/0!</v>
      </c>
      <c r="I12" s="153"/>
      <c r="J12" s="153"/>
      <c r="K12" s="153"/>
      <c r="L12" s="153"/>
      <c r="M12" s="154"/>
      <c r="N12" s="154"/>
      <c r="O12" s="154"/>
    </row>
    <row r="13" spans="1:15" x14ac:dyDescent="0.2">
      <c r="A13" s="204" t="s">
        <v>508</v>
      </c>
      <c r="B13" s="205" t="s">
        <v>26</v>
      </c>
      <c r="C13" s="208">
        <f>+C14+C16+C18</f>
        <v>0</v>
      </c>
      <c r="D13" s="209">
        <f>+D14+D16+D18</f>
        <v>0</v>
      </c>
      <c r="E13" s="209">
        <f>+E14+E16+E18</f>
        <v>0</v>
      </c>
      <c r="F13" s="208">
        <f>+F14+F16+F18</f>
        <v>0</v>
      </c>
      <c r="G13" s="208" t="e">
        <f t="shared" si="1"/>
        <v>#DIV/0!</v>
      </c>
      <c r="H13" s="208" t="e">
        <f t="shared" si="2"/>
        <v>#DIV/0!</v>
      </c>
      <c r="I13" s="153"/>
      <c r="J13" s="153"/>
      <c r="K13" s="153"/>
      <c r="L13" s="153"/>
      <c r="M13" s="168"/>
      <c r="N13" s="168"/>
      <c r="O13" s="168"/>
    </row>
    <row r="14" spans="1:15" x14ac:dyDescent="0.2">
      <c r="A14" s="203" t="s">
        <v>81</v>
      </c>
      <c r="B14" s="179" t="s">
        <v>485</v>
      </c>
      <c r="C14" s="206">
        <f>+C15</f>
        <v>0</v>
      </c>
      <c r="D14" s="207">
        <f>+D15</f>
        <v>0</v>
      </c>
      <c r="E14" s="207">
        <f>+E15</f>
        <v>0</v>
      </c>
      <c r="F14" s="206">
        <f>+F15</f>
        <v>0</v>
      </c>
      <c r="G14" s="206" t="e">
        <f t="shared" si="1"/>
        <v>#DIV/0!</v>
      </c>
      <c r="H14" s="206" t="e">
        <f t="shared" si="2"/>
        <v>#DIV/0!</v>
      </c>
      <c r="I14" s="153"/>
      <c r="J14" s="153"/>
      <c r="K14" s="153"/>
      <c r="L14" s="153"/>
      <c r="M14" s="168"/>
      <c r="N14" s="168"/>
      <c r="O14" s="168"/>
    </row>
    <row r="15" spans="1:15" x14ac:dyDescent="0.2">
      <c r="A15" s="171" t="s">
        <v>83</v>
      </c>
      <c r="B15" s="155" t="s">
        <v>485</v>
      </c>
      <c r="C15" s="151"/>
      <c r="D15" s="152"/>
      <c r="E15" s="152"/>
      <c r="F15" s="151"/>
      <c r="G15" s="173" t="e">
        <f t="shared" si="1"/>
        <v>#DIV/0!</v>
      </c>
      <c r="H15" s="173" t="e">
        <f t="shared" si="2"/>
        <v>#DIV/0!</v>
      </c>
      <c r="I15" s="154"/>
      <c r="J15" s="154"/>
      <c r="K15" s="154"/>
      <c r="L15" s="154"/>
      <c r="M15" s="154"/>
      <c r="N15" s="154"/>
      <c r="O15" s="154"/>
    </row>
    <row r="16" spans="1:15" x14ac:dyDescent="0.2">
      <c r="A16" s="203" t="s">
        <v>57</v>
      </c>
      <c r="B16" s="179" t="s">
        <v>58</v>
      </c>
      <c r="C16" s="206">
        <f>+C17</f>
        <v>0</v>
      </c>
      <c r="D16" s="207">
        <f>+D17</f>
        <v>0</v>
      </c>
      <c r="E16" s="207">
        <f>+E17</f>
        <v>0</v>
      </c>
      <c r="F16" s="206">
        <f>+F17</f>
        <v>0</v>
      </c>
      <c r="G16" s="206" t="e">
        <f t="shared" si="1"/>
        <v>#DIV/0!</v>
      </c>
      <c r="H16" s="206" t="e">
        <f t="shared" si="2"/>
        <v>#DIV/0!</v>
      </c>
      <c r="I16" s="153"/>
      <c r="J16" s="153"/>
      <c r="K16" s="153"/>
      <c r="L16" s="153"/>
      <c r="M16" s="168"/>
      <c r="N16" s="168"/>
      <c r="O16" s="168"/>
    </row>
    <row r="17" spans="1:15" x14ac:dyDescent="0.2">
      <c r="A17" s="171" t="s">
        <v>60</v>
      </c>
      <c r="B17" s="155" t="s">
        <v>61</v>
      </c>
      <c r="C17" s="151"/>
      <c r="D17" s="152"/>
      <c r="E17" s="152"/>
      <c r="F17" s="151"/>
      <c r="G17" s="173" t="e">
        <f t="shared" si="1"/>
        <v>#DIV/0!</v>
      </c>
      <c r="H17" s="173" t="e">
        <f t="shared" si="2"/>
        <v>#DIV/0!</v>
      </c>
      <c r="I17" s="154"/>
      <c r="J17" s="154"/>
      <c r="K17" s="154"/>
      <c r="L17" s="154"/>
      <c r="M17" s="154"/>
      <c r="N17" s="154"/>
      <c r="O17" s="154"/>
    </row>
    <row r="18" spans="1:15" x14ac:dyDescent="0.2">
      <c r="A18" s="203" t="s">
        <v>62</v>
      </c>
      <c r="B18" s="179" t="s">
        <v>63</v>
      </c>
      <c r="C18" s="206">
        <f>+C19</f>
        <v>0</v>
      </c>
      <c r="D18" s="207">
        <f>+D19</f>
        <v>0</v>
      </c>
      <c r="E18" s="207">
        <f>+E19</f>
        <v>0</v>
      </c>
      <c r="F18" s="206">
        <f>+F19</f>
        <v>0</v>
      </c>
      <c r="G18" s="206" t="e">
        <f t="shared" si="1"/>
        <v>#DIV/0!</v>
      </c>
      <c r="H18" s="206" t="e">
        <f t="shared" si="2"/>
        <v>#DIV/0!</v>
      </c>
      <c r="I18" s="153"/>
      <c r="J18" s="153"/>
      <c r="K18" s="153"/>
      <c r="L18" s="153"/>
      <c r="M18" s="168"/>
      <c r="N18" s="168"/>
      <c r="O18" s="168"/>
    </row>
    <row r="19" spans="1:15" x14ac:dyDescent="0.2">
      <c r="A19" s="171" t="s">
        <v>75</v>
      </c>
      <c r="B19" s="155" t="s">
        <v>76</v>
      </c>
      <c r="C19" s="151"/>
      <c r="D19" s="152"/>
      <c r="E19" s="152"/>
      <c r="F19" s="151"/>
      <c r="G19" s="173" t="e">
        <f t="shared" si="1"/>
        <v>#DIV/0!</v>
      </c>
      <c r="H19" s="173" t="e">
        <f t="shared" si="2"/>
        <v>#DIV/0!</v>
      </c>
      <c r="I19" s="154"/>
      <c r="J19" s="154"/>
      <c r="K19" s="154"/>
      <c r="L19" s="154"/>
      <c r="M19" s="154"/>
      <c r="N19" s="154"/>
      <c r="O19" s="154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D4A9-985C-48AE-AF97-258C0FDB29A7}">
  <sheetPr>
    <pageSetUpPr fitToPage="1"/>
  </sheetPr>
  <dimension ref="A1:I280"/>
  <sheetViews>
    <sheetView tabSelected="1" topLeftCell="A165" workbookViewId="0">
      <selection activeCell="B277" sqref="B277:B280"/>
    </sheetView>
  </sheetViews>
  <sheetFormatPr defaultColWidth="9.140625" defaultRowHeight="15.75" x14ac:dyDescent="0.25"/>
  <cols>
    <col min="1" max="1" width="9.7109375" style="332" customWidth="1"/>
    <col min="2" max="2" width="59.140625" style="332" customWidth="1"/>
    <col min="3" max="3" width="14.85546875" style="332" customWidth="1"/>
    <col min="4" max="4" width="20.85546875" style="332" customWidth="1"/>
    <col min="5" max="5" width="12.85546875" style="219" customWidth="1"/>
    <col min="6" max="7" width="15.140625" style="219" customWidth="1"/>
    <col min="8" max="9" width="10.7109375" style="219" bestFit="1" customWidth="1"/>
    <col min="10" max="10" width="10.28515625" style="219" bestFit="1" customWidth="1"/>
    <col min="11" max="11" width="11.85546875" style="219" bestFit="1" customWidth="1"/>
    <col min="12" max="12" width="15.42578125" style="219" customWidth="1"/>
    <col min="13" max="16384" width="9.140625" style="219"/>
  </cols>
  <sheetData>
    <row r="1" spans="1:7" ht="15.75" customHeight="1" x14ac:dyDescent="0.25">
      <c r="A1" s="403" t="s">
        <v>588</v>
      </c>
      <c r="B1" s="403"/>
      <c r="C1" s="403"/>
      <c r="D1" s="403"/>
      <c r="E1" s="403"/>
      <c r="F1" s="217"/>
      <c r="G1" s="218"/>
    </row>
    <row r="2" spans="1:7" s="220" customFormat="1" ht="15.75" customHeight="1" x14ac:dyDescent="0.25">
      <c r="A2" s="403" t="s">
        <v>530</v>
      </c>
      <c r="B2" s="403"/>
      <c r="C2" s="403"/>
      <c r="D2" s="403"/>
      <c r="E2" s="403"/>
    </row>
    <row r="3" spans="1:7" s="224" customFormat="1" x14ac:dyDescent="0.25">
      <c r="A3" s="221"/>
      <c r="B3" s="221"/>
      <c r="C3" s="222"/>
      <c r="D3" s="222"/>
      <c r="E3" s="223"/>
      <c r="F3" s="223"/>
      <c r="G3" s="223"/>
    </row>
    <row r="4" spans="1:7" s="224" customFormat="1" ht="47.25" x14ac:dyDescent="0.25">
      <c r="A4" s="225" t="s">
        <v>562</v>
      </c>
      <c r="B4" s="225" t="s">
        <v>563</v>
      </c>
      <c r="C4" s="226" t="s">
        <v>584</v>
      </c>
      <c r="D4" s="226" t="s">
        <v>591</v>
      </c>
      <c r="E4" s="226" t="s">
        <v>564</v>
      </c>
      <c r="F4" s="223"/>
      <c r="G4" s="223"/>
    </row>
    <row r="5" spans="1:7" s="230" customFormat="1" ht="11.25" x14ac:dyDescent="0.2">
      <c r="A5" s="404">
        <v>1</v>
      </c>
      <c r="B5" s="404"/>
      <c r="C5" s="227">
        <v>2</v>
      </c>
      <c r="D5" s="227">
        <v>3</v>
      </c>
      <c r="E5" s="228" t="s">
        <v>565</v>
      </c>
      <c r="F5" s="229"/>
      <c r="G5" s="229"/>
    </row>
    <row r="6" spans="1:7" s="224" customFormat="1" x14ac:dyDescent="0.25">
      <c r="A6" s="231" t="s">
        <v>566</v>
      </c>
      <c r="B6" s="232" t="s">
        <v>567</v>
      </c>
      <c r="C6" s="233">
        <f>C7+C26+C76+C169+C207+C220+C261</f>
        <v>5476275</v>
      </c>
      <c r="D6" s="338">
        <f>D7+D26+D76+D169+D207+D220+D261+D275</f>
        <v>6043076.3499999996</v>
      </c>
      <c r="E6" s="233">
        <f>SUM(D6/C6*100)</f>
        <v>110.3501257697979</v>
      </c>
      <c r="F6" s="223"/>
      <c r="G6" s="223"/>
    </row>
    <row r="7" spans="1:7" s="224" customFormat="1" x14ac:dyDescent="0.25">
      <c r="A7" s="234" t="s">
        <v>531</v>
      </c>
      <c r="B7" s="235" t="s">
        <v>580</v>
      </c>
      <c r="C7" s="236">
        <f>C8</f>
        <v>3695268</v>
      </c>
      <c r="D7" s="339">
        <f>D8</f>
        <v>4131510.57</v>
      </c>
      <c r="E7" s="236">
        <f>SUM(D7/C7*100)</f>
        <v>111.80543792764151</v>
      </c>
      <c r="F7" s="223"/>
      <c r="G7" s="223"/>
    </row>
    <row r="8" spans="1:7" s="240" customFormat="1" ht="15" customHeight="1" x14ac:dyDescent="0.25">
      <c r="A8" s="237">
        <v>11</v>
      </c>
      <c r="B8" s="237" t="s">
        <v>55</v>
      </c>
      <c r="C8" s="238">
        <f>SUM(C10,C17)</f>
        <v>3695268</v>
      </c>
      <c r="D8" s="340">
        <f>SUM(D9)</f>
        <v>4131510.57</v>
      </c>
      <c r="E8" s="238">
        <f>SUM(D8/C8*100)</f>
        <v>111.80543792764151</v>
      </c>
      <c r="F8" s="223"/>
      <c r="G8" s="239"/>
    </row>
    <row r="9" spans="1:7" s="244" customFormat="1" x14ac:dyDescent="0.25">
      <c r="A9" s="241">
        <v>3</v>
      </c>
      <c r="B9" s="242" t="s">
        <v>82</v>
      </c>
      <c r="C9" s="243">
        <f>C10+C17</f>
        <v>3695268</v>
      </c>
      <c r="D9" s="341">
        <f>SUM(D10,D17)</f>
        <v>4131510.57</v>
      </c>
      <c r="E9" s="243">
        <f>SUM(D9/C9*100)</f>
        <v>111.80543792764151</v>
      </c>
      <c r="F9" s="223"/>
    </row>
    <row r="10" spans="1:7" s="224" customFormat="1" ht="14.25" customHeight="1" x14ac:dyDescent="0.25">
      <c r="A10" s="405">
        <v>31</v>
      </c>
      <c r="B10" s="406" t="s">
        <v>84</v>
      </c>
      <c r="C10" s="407">
        <f>C11+C13+C15</f>
        <v>3642891</v>
      </c>
      <c r="D10" s="408">
        <f>D11+D13+D15</f>
        <v>4084406.92</v>
      </c>
      <c r="E10" s="409">
        <f>SUM(D10/C10*100)</f>
        <v>112.11993221866918</v>
      </c>
      <c r="F10" s="223"/>
      <c r="G10" s="223"/>
    </row>
    <row r="11" spans="1:7" s="254" customFormat="1" ht="14.25" customHeight="1" x14ac:dyDescent="0.25">
      <c r="A11" s="410">
        <v>311</v>
      </c>
      <c r="B11" s="411" t="s">
        <v>568</v>
      </c>
      <c r="C11" s="412">
        <f>C12</f>
        <v>3067598</v>
      </c>
      <c r="D11" s="413">
        <f>SUM(D12)</f>
        <v>3421576.62</v>
      </c>
      <c r="E11" s="414">
        <f t="shared" ref="E11:E25" si="0">SUM(D11/C11*100)</f>
        <v>111.539276658806</v>
      </c>
      <c r="F11" s="223"/>
      <c r="G11" s="253"/>
    </row>
    <row r="12" spans="1:7" ht="14.25" customHeight="1" x14ac:dyDescent="0.25">
      <c r="A12" s="415">
        <v>3111</v>
      </c>
      <c r="B12" s="416" t="s">
        <v>88</v>
      </c>
      <c r="C12" s="417">
        <v>3067598</v>
      </c>
      <c r="D12" s="418">
        <v>3421576.62</v>
      </c>
      <c r="E12" s="419">
        <f t="shared" si="0"/>
        <v>111.539276658806</v>
      </c>
      <c r="F12" s="223"/>
      <c r="G12" s="259"/>
    </row>
    <row r="13" spans="1:7" ht="14.25" customHeight="1" x14ac:dyDescent="0.25">
      <c r="A13" s="420">
        <v>312</v>
      </c>
      <c r="B13" s="421" t="s">
        <v>92</v>
      </c>
      <c r="C13" s="422">
        <f>C14</f>
        <v>84338</v>
      </c>
      <c r="D13" s="423">
        <f>D14</f>
        <v>98149.04</v>
      </c>
      <c r="E13" s="414">
        <f t="shared" si="0"/>
        <v>116.37582110080864</v>
      </c>
      <c r="F13" s="223"/>
      <c r="G13" s="259"/>
    </row>
    <row r="14" spans="1:7" ht="14.25" customHeight="1" x14ac:dyDescent="0.25">
      <c r="A14" s="415">
        <v>3121</v>
      </c>
      <c r="B14" s="416" t="s">
        <v>92</v>
      </c>
      <c r="C14" s="417">
        <v>84338</v>
      </c>
      <c r="D14" s="418">
        <v>98149.04</v>
      </c>
      <c r="E14" s="419">
        <f t="shared" si="0"/>
        <v>116.37582110080864</v>
      </c>
      <c r="F14" s="223"/>
      <c r="G14" s="259"/>
    </row>
    <row r="15" spans="1:7" s="254" customFormat="1" ht="14.25" customHeight="1" x14ac:dyDescent="0.25">
      <c r="A15" s="410">
        <v>313</v>
      </c>
      <c r="B15" s="411" t="s">
        <v>95</v>
      </c>
      <c r="C15" s="424">
        <f>C16</f>
        <v>490955</v>
      </c>
      <c r="D15" s="425">
        <f>SUM(D16:D16)</f>
        <v>564681.26</v>
      </c>
      <c r="E15" s="414">
        <f t="shared" si="0"/>
        <v>115.01690786324612</v>
      </c>
      <c r="F15" s="223"/>
      <c r="G15" s="253"/>
    </row>
    <row r="16" spans="1:7" ht="14.25" customHeight="1" x14ac:dyDescent="0.25">
      <c r="A16" s="415">
        <v>3132</v>
      </c>
      <c r="B16" s="416" t="s">
        <v>97</v>
      </c>
      <c r="C16" s="417">
        <v>490955</v>
      </c>
      <c r="D16" s="418">
        <v>564681.26</v>
      </c>
      <c r="E16" s="419">
        <f t="shared" si="0"/>
        <v>115.01690786324612</v>
      </c>
      <c r="F16" s="223"/>
      <c r="G16" s="259"/>
    </row>
    <row r="17" spans="1:7" s="224" customFormat="1" ht="14.25" customHeight="1" x14ac:dyDescent="0.25">
      <c r="A17" s="426">
        <v>32</v>
      </c>
      <c r="B17" s="427" t="s">
        <v>99</v>
      </c>
      <c r="C17" s="428">
        <f>C18+C20+C24</f>
        <v>52377</v>
      </c>
      <c r="D17" s="429">
        <f>SUM(D18)+D24+D20+D22</f>
        <v>47103.649999999994</v>
      </c>
      <c r="E17" s="430">
        <f t="shared" si="0"/>
        <v>89.93193577333561</v>
      </c>
      <c r="F17" s="223"/>
      <c r="G17" s="223"/>
    </row>
    <row r="18" spans="1:7" s="254" customFormat="1" ht="14.25" customHeight="1" x14ac:dyDescent="0.25">
      <c r="A18" s="410">
        <v>321</v>
      </c>
      <c r="B18" s="411" t="s">
        <v>101</v>
      </c>
      <c r="C18" s="424">
        <f>C19</f>
        <v>39353</v>
      </c>
      <c r="D18" s="425">
        <f>SUM(D19:D19)</f>
        <v>34472.839999999997</v>
      </c>
      <c r="E18" s="414">
        <f t="shared" si="0"/>
        <v>87.599014052295871</v>
      </c>
      <c r="F18" s="223"/>
      <c r="G18" s="253"/>
    </row>
    <row r="19" spans="1:7" x14ac:dyDescent="0.25">
      <c r="A19" s="415" t="s">
        <v>104</v>
      </c>
      <c r="B19" s="416" t="s">
        <v>105</v>
      </c>
      <c r="C19" s="417">
        <v>39353</v>
      </c>
      <c r="D19" s="418">
        <v>34472.839999999997</v>
      </c>
      <c r="E19" s="419">
        <f t="shared" si="0"/>
        <v>87.599014052295871</v>
      </c>
      <c r="F19" s="223"/>
      <c r="G19" s="259"/>
    </row>
    <row r="20" spans="1:7" x14ac:dyDescent="0.25">
      <c r="A20" s="420">
        <v>323</v>
      </c>
      <c r="B20" s="421" t="s">
        <v>123</v>
      </c>
      <c r="C20" s="422">
        <f>C21</f>
        <v>7797</v>
      </c>
      <c r="D20" s="423">
        <f>D21</f>
        <v>5892.99</v>
      </c>
      <c r="E20" s="414">
        <f t="shared" si="0"/>
        <v>75.580223162754905</v>
      </c>
      <c r="F20" s="223"/>
      <c r="G20" s="259"/>
    </row>
    <row r="21" spans="1:7" x14ac:dyDescent="0.25">
      <c r="A21" s="415">
        <v>3236</v>
      </c>
      <c r="B21" s="416" t="s">
        <v>135</v>
      </c>
      <c r="C21" s="417">
        <v>7797</v>
      </c>
      <c r="D21" s="418">
        <v>5892.99</v>
      </c>
      <c r="E21" s="419">
        <f t="shared" si="0"/>
        <v>75.580223162754905</v>
      </c>
      <c r="F21" s="223"/>
      <c r="G21" s="259"/>
    </row>
    <row r="22" spans="1:7" x14ac:dyDescent="0.25">
      <c r="A22" s="420">
        <v>324</v>
      </c>
      <c r="B22" s="421" t="s">
        <v>143</v>
      </c>
      <c r="C22" s="422">
        <v>0</v>
      </c>
      <c r="D22" s="423">
        <f>D23</f>
        <v>745.82</v>
      </c>
      <c r="E22" s="419">
        <v>0</v>
      </c>
      <c r="F22" s="223"/>
      <c r="G22" s="259"/>
    </row>
    <row r="23" spans="1:7" x14ac:dyDescent="0.25">
      <c r="A23" s="415">
        <v>3241</v>
      </c>
      <c r="B23" s="416" t="s">
        <v>585</v>
      </c>
      <c r="C23" s="417">
        <v>0</v>
      </c>
      <c r="D23" s="418">
        <v>745.82</v>
      </c>
      <c r="E23" s="419">
        <v>0</v>
      </c>
      <c r="F23" s="223"/>
      <c r="G23" s="259"/>
    </row>
    <row r="24" spans="1:7" x14ac:dyDescent="0.25">
      <c r="A24" s="420">
        <v>329</v>
      </c>
      <c r="B24" s="421" t="s">
        <v>146</v>
      </c>
      <c r="C24" s="422">
        <f>C25</f>
        <v>5227</v>
      </c>
      <c r="D24" s="423">
        <f>D25</f>
        <v>5992</v>
      </c>
      <c r="E24" s="414">
        <f t="shared" si="0"/>
        <v>114.63554620241057</v>
      </c>
      <c r="F24" s="223"/>
      <c r="G24" s="259"/>
    </row>
    <row r="25" spans="1:7" x14ac:dyDescent="0.25">
      <c r="A25" s="431">
        <v>3295</v>
      </c>
      <c r="B25" s="432" t="s">
        <v>156</v>
      </c>
      <c r="C25" s="433">
        <v>5227</v>
      </c>
      <c r="D25" s="434">
        <v>5992</v>
      </c>
      <c r="E25" s="435">
        <f t="shared" si="0"/>
        <v>114.63554620241057</v>
      </c>
      <c r="F25" s="223"/>
      <c r="G25" s="259"/>
    </row>
    <row r="26" spans="1:7" x14ac:dyDescent="0.25">
      <c r="A26" s="234" t="s">
        <v>532</v>
      </c>
      <c r="B26" s="235" t="s">
        <v>596</v>
      </c>
      <c r="C26" s="236">
        <f>C27</f>
        <v>418601</v>
      </c>
      <c r="D26" s="339">
        <f>D27</f>
        <v>508360.68999999994</v>
      </c>
      <c r="E26" s="236">
        <f>SUM(D26/C26*100)</f>
        <v>121.44277963980016</v>
      </c>
      <c r="F26" s="223"/>
      <c r="G26" s="259"/>
    </row>
    <row r="27" spans="1:7" x14ac:dyDescent="0.25">
      <c r="A27" s="237">
        <v>11</v>
      </c>
      <c r="B27" s="237" t="s">
        <v>55</v>
      </c>
      <c r="C27" s="238">
        <f>C28</f>
        <v>418601</v>
      </c>
      <c r="D27" s="340">
        <f>D28</f>
        <v>508360.68999999994</v>
      </c>
      <c r="E27" s="238">
        <f>SUM(D27/C27*100)</f>
        <v>121.44277963980016</v>
      </c>
      <c r="F27" s="223"/>
      <c r="G27" s="259"/>
    </row>
    <row r="28" spans="1:7" x14ac:dyDescent="0.25">
      <c r="A28" s="241">
        <v>3</v>
      </c>
      <c r="B28" s="242" t="s">
        <v>82</v>
      </c>
      <c r="C28" s="243">
        <f>C29+C38+C65</f>
        <v>418601</v>
      </c>
      <c r="D28" s="341">
        <f>D29+D38+D65+D70+D73</f>
        <v>508360.68999999994</v>
      </c>
      <c r="E28" s="243">
        <f>SUM(D28/C28*100)</f>
        <v>121.44277963980016</v>
      </c>
      <c r="F28" s="223"/>
      <c r="G28" s="259"/>
    </row>
    <row r="29" spans="1:7" x14ac:dyDescent="0.25">
      <c r="A29" s="245">
        <v>31</v>
      </c>
      <c r="B29" s="246" t="s">
        <v>84</v>
      </c>
      <c r="C29" s="247">
        <f>C30+C35</f>
        <v>118830</v>
      </c>
      <c r="D29" s="342">
        <f>D30+D35+D33</f>
        <v>77656.680000000008</v>
      </c>
      <c r="E29" s="248">
        <f>SUM(D29/C29*100)</f>
        <v>65.351072961373404</v>
      </c>
      <c r="F29" s="223"/>
      <c r="G29" s="259"/>
    </row>
    <row r="30" spans="1:7" x14ac:dyDescent="0.25">
      <c r="A30" s="249">
        <v>311</v>
      </c>
      <c r="B30" s="250" t="s">
        <v>568</v>
      </c>
      <c r="C30" s="251">
        <f>C32</f>
        <v>102000</v>
      </c>
      <c r="D30" s="343">
        <f>D31+D32</f>
        <v>65880.94</v>
      </c>
      <c r="E30" s="252">
        <f t="shared" ref="E30:E36" si="1">SUM(D30/C30*100)</f>
        <v>64.589156862745099</v>
      </c>
      <c r="F30" s="223"/>
      <c r="G30" s="259"/>
    </row>
    <row r="31" spans="1:7" x14ac:dyDescent="0.25">
      <c r="A31" s="255">
        <v>3111</v>
      </c>
      <c r="B31" s="256" t="s">
        <v>88</v>
      </c>
      <c r="C31" s="270">
        <v>0</v>
      </c>
      <c r="D31" s="349">
        <f>7322.25+3224</f>
        <v>10546.25</v>
      </c>
      <c r="E31" s="258">
        <v>0</v>
      </c>
      <c r="F31" s="223"/>
      <c r="G31" s="259"/>
    </row>
    <row r="32" spans="1:7" x14ac:dyDescent="0.25">
      <c r="A32" s="255">
        <v>3113</v>
      </c>
      <c r="B32" s="256" t="s">
        <v>90</v>
      </c>
      <c r="C32" s="257">
        <v>102000</v>
      </c>
      <c r="D32" s="344">
        <v>55334.69</v>
      </c>
      <c r="E32" s="258">
        <f t="shared" si="1"/>
        <v>54.249696078431377</v>
      </c>
      <c r="F32" s="223"/>
      <c r="G32" s="259"/>
    </row>
    <row r="33" spans="1:7" x14ac:dyDescent="0.25">
      <c r="A33" s="260">
        <v>312</v>
      </c>
      <c r="B33" s="261" t="s">
        <v>92</v>
      </c>
      <c r="C33" s="262">
        <f>C34</f>
        <v>0</v>
      </c>
      <c r="D33" s="345">
        <f>D34</f>
        <v>882.88</v>
      </c>
      <c r="E33" s="252">
        <v>0</v>
      </c>
      <c r="F33" s="223"/>
      <c r="G33" s="259"/>
    </row>
    <row r="34" spans="1:7" x14ac:dyDescent="0.25">
      <c r="A34" s="255">
        <v>3121</v>
      </c>
      <c r="B34" s="256" t="s">
        <v>92</v>
      </c>
      <c r="C34" s="257">
        <v>0</v>
      </c>
      <c r="D34" s="344">
        <v>882.88</v>
      </c>
      <c r="E34" s="258">
        <v>0</v>
      </c>
      <c r="F34" s="223"/>
      <c r="G34" s="259"/>
    </row>
    <row r="35" spans="1:7" x14ac:dyDescent="0.25">
      <c r="A35" s="249">
        <v>313</v>
      </c>
      <c r="B35" s="250" t="s">
        <v>95</v>
      </c>
      <c r="C35" s="263">
        <f>C36</f>
        <v>16830</v>
      </c>
      <c r="D35" s="346">
        <f>SUM(D36:D36)+D37</f>
        <v>10892.86</v>
      </c>
      <c r="E35" s="252">
        <f t="shared" si="1"/>
        <v>64.722875816993465</v>
      </c>
      <c r="F35" s="223"/>
      <c r="G35" s="259"/>
    </row>
    <row r="36" spans="1:7" x14ac:dyDescent="0.25">
      <c r="A36" s="255">
        <v>3132</v>
      </c>
      <c r="B36" s="256" t="s">
        <v>97</v>
      </c>
      <c r="C36" s="257">
        <v>16830</v>
      </c>
      <c r="D36" s="344">
        <f>10338.39+499.68</f>
        <v>10838.07</v>
      </c>
      <c r="E36" s="258">
        <f t="shared" si="1"/>
        <v>64.39732620320855</v>
      </c>
      <c r="F36" s="223"/>
      <c r="G36" s="259"/>
    </row>
    <row r="37" spans="1:7" x14ac:dyDescent="0.25">
      <c r="A37" s="255">
        <v>3133</v>
      </c>
      <c r="B37" s="256" t="s">
        <v>380</v>
      </c>
      <c r="C37" s="257">
        <v>0</v>
      </c>
      <c r="D37" s="344">
        <v>54.79</v>
      </c>
      <c r="E37" s="258">
        <v>0</v>
      </c>
      <c r="F37" s="223"/>
      <c r="G37" s="259"/>
    </row>
    <row r="38" spans="1:7" x14ac:dyDescent="0.25">
      <c r="A38" s="264">
        <v>32</v>
      </c>
      <c r="B38" s="265" t="s">
        <v>99</v>
      </c>
      <c r="C38" s="266">
        <f>C39+C42+C47+C57+C59</f>
        <v>299771</v>
      </c>
      <c r="D38" s="347">
        <f>D39+D42+D47+D59+D57</f>
        <v>427811.66</v>
      </c>
      <c r="E38" s="271">
        <f>(D38/C38)*100</f>
        <v>142.71282412241345</v>
      </c>
      <c r="F38" s="223"/>
      <c r="G38" s="259"/>
    </row>
    <row r="39" spans="1:7" x14ac:dyDescent="0.25">
      <c r="A39" s="249">
        <v>321</v>
      </c>
      <c r="B39" s="250" t="s">
        <v>101</v>
      </c>
      <c r="C39" s="263">
        <f>C40+C41</f>
        <v>82000</v>
      </c>
      <c r="D39" s="346">
        <f>D41+D40</f>
        <v>125858.78</v>
      </c>
      <c r="E39" s="272">
        <f t="shared" ref="E39:E61" si="2">(D39/C39)*100</f>
        <v>153.48631707317074</v>
      </c>
      <c r="F39" s="223"/>
      <c r="G39" s="259"/>
    </row>
    <row r="40" spans="1:7" x14ac:dyDescent="0.25">
      <c r="A40" s="273">
        <v>3211</v>
      </c>
      <c r="B40" s="274" t="s">
        <v>103</v>
      </c>
      <c r="C40" s="275">
        <v>32000</v>
      </c>
      <c r="D40" s="350">
        <f>1219.4+23503.3+38264.05</f>
        <v>62986.75</v>
      </c>
      <c r="E40" s="276">
        <f t="shared" si="2"/>
        <v>196.83359375000001</v>
      </c>
      <c r="F40" s="223"/>
      <c r="G40" s="259"/>
    </row>
    <row r="41" spans="1:7" x14ac:dyDescent="0.25">
      <c r="A41" s="255">
        <v>3213</v>
      </c>
      <c r="B41" s="256" t="s">
        <v>107</v>
      </c>
      <c r="C41" s="257">
        <v>50000</v>
      </c>
      <c r="D41" s="344">
        <f>2758.26+31153.67+28960.1</f>
        <v>62872.03</v>
      </c>
      <c r="E41" s="276">
        <f t="shared" si="2"/>
        <v>125.74406</v>
      </c>
      <c r="F41" s="223"/>
      <c r="G41" s="259"/>
    </row>
    <row r="42" spans="1:7" x14ac:dyDescent="0.25">
      <c r="A42" s="249">
        <v>322</v>
      </c>
      <c r="B42" s="250" t="s">
        <v>111</v>
      </c>
      <c r="C42" s="263">
        <f>C43+C44+C45</f>
        <v>141284</v>
      </c>
      <c r="D42" s="346">
        <f>D43+D44+D45+D46</f>
        <v>103680.29999999999</v>
      </c>
      <c r="E42" s="272">
        <f t="shared" si="2"/>
        <v>73.384318111038752</v>
      </c>
      <c r="F42" s="223"/>
      <c r="G42" s="259"/>
    </row>
    <row r="43" spans="1:7" x14ac:dyDescent="0.25">
      <c r="A43" s="255" t="s">
        <v>112</v>
      </c>
      <c r="B43" s="256" t="s">
        <v>113</v>
      </c>
      <c r="C43" s="257">
        <v>21935</v>
      </c>
      <c r="D43" s="344">
        <f>19566.82+1148.35</f>
        <v>20715.169999999998</v>
      </c>
      <c r="E43" s="276">
        <f t="shared" si="2"/>
        <v>94.438887622521079</v>
      </c>
      <c r="F43" s="223"/>
      <c r="G43" s="259"/>
    </row>
    <row r="44" spans="1:7" x14ac:dyDescent="0.25">
      <c r="A44" s="255" t="s">
        <v>114</v>
      </c>
      <c r="B44" s="256" t="s">
        <v>115</v>
      </c>
      <c r="C44" s="257">
        <v>119349</v>
      </c>
      <c r="D44" s="344">
        <f>56519.93+20421.93</f>
        <v>76941.86</v>
      </c>
      <c r="E44" s="276">
        <f t="shared" si="2"/>
        <v>64.467955324301002</v>
      </c>
      <c r="F44" s="223"/>
      <c r="G44" s="259"/>
    </row>
    <row r="45" spans="1:7" x14ac:dyDescent="0.25">
      <c r="A45" s="255" t="s">
        <v>116</v>
      </c>
      <c r="B45" s="256" t="s">
        <v>117</v>
      </c>
      <c r="C45" s="257">
        <v>0</v>
      </c>
      <c r="D45" s="344">
        <v>450.95</v>
      </c>
      <c r="E45" s="276">
        <v>0</v>
      </c>
      <c r="F45" s="223"/>
      <c r="G45" s="259"/>
    </row>
    <row r="46" spans="1:7" x14ac:dyDescent="0.25">
      <c r="A46" s="255">
        <v>3225</v>
      </c>
      <c r="B46" s="256" t="s">
        <v>119</v>
      </c>
      <c r="C46" s="257">
        <v>0</v>
      </c>
      <c r="D46" s="344">
        <f>4922.82+649.5</f>
        <v>5572.32</v>
      </c>
      <c r="E46" s="276">
        <v>0</v>
      </c>
      <c r="F46" s="223"/>
      <c r="G46" s="259"/>
    </row>
    <row r="47" spans="1:7" x14ac:dyDescent="0.25">
      <c r="A47" s="249">
        <v>323</v>
      </c>
      <c r="B47" s="250" t="s">
        <v>123</v>
      </c>
      <c r="C47" s="263">
        <f>C48+C49+C50+C51+C52+C54+C55+C56</f>
        <v>73587</v>
      </c>
      <c r="D47" s="346">
        <f>SUM(D48:D56)</f>
        <v>189642.4</v>
      </c>
      <c r="E47" s="272">
        <f t="shared" si="2"/>
        <v>257.71182409936534</v>
      </c>
      <c r="F47" s="223"/>
      <c r="G47" s="259"/>
    </row>
    <row r="48" spans="1:7" x14ac:dyDescent="0.25">
      <c r="A48" s="255" t="s">
        <v>124</v>
      </c>
      <c r="B48" s="256" t="s">
        <v>125</v>
      </c>
      <c r="C48" s="257">
        <v>3000</v>
      </c>
      <c r="D48" s="344">
        <v>2417.3000000000002</v>
      </c>
      <c r="E48" s="276">
        <f t="shared" si="2"/>
        <v>80.576666666666668</v>
      </c>
      <c r="F48" s="223"/>
      <c r="G48" s="259"/>
    </row>
    <row r="49" spans="1:7" x14ac:dyDescent="0.25">
      <c r="A49" s="255" t="s">
        <v>126</v>
      </c>
      <c r="B49" s="256" t="s">
        <v>127</v>
      </c>
      <c r="C49" s="257">
        <v>0</v>
      </c>
      <c r="D49" s="344">
        <v>161.28</v>
      </c>
      <c r="E49" s="276">
        <v>0</v>
      </c>
      <c r="F49" s="223"/>
      <c r="G49" s="259"/>
    </row>
    <row r="50" spans="1:7" x14ac:dyDescent="0.25">
      <c r="A50" s="255">
        <v>3233</v>
      </c>
      <c r="B50" s="256" t="s">
        <v>129</v>
      </c>
      <c r="C50" s="257">
        <v>1000</v>
      </c>
      <c r="D50" s="344">
        <f>1182.56+3125</f>
        <v>4307.5599999999995</v>
      </c>
      <c r="E50" s="276">
        <f t="shared" si="2"/>
        <v>430.75599999999997</v>
      </c>
      <c r="F50" s="223"/>
      <c r="G50" s="259"/>
    </row>
    <row r="51" spans="1:7" x14ac:dyDescent="0.25">
      <c r="A51" s="255" t="s">
        <v>130</v>
      </c>
      <c r="B51" s="256" t="s">
        <v>131</v>
      </c>
      <c r="C51" s="257">
        <v>16909</v>
      </c>
      <c r="D51" s="344">
        <v>15056.25</v>
      </c>
      <c r="E51" s="276">
        <f t="shared" si="2"/>
        <v>89.042817434502339</v>
      </c>
      <c r="F51" s="223"/>
      <c r="G51" s="259"/>
    </row>
    <row r="52" spans="1:7" x14ac:dyDescent="0.25">
      <c r="A52" s="255">
        <v>3235</v>
      </c>
      <c r="B52" s="256" t="s">
        <v>133</v>
      </c>
      <c r="C52" s="257">
        <v>2000</v>
      </c>
      <c r="D52" s="344">
        <f>28014.27+33474.12+2065.3</f>
        <v>63553.69</v>
      </c>
      <c r="E52" s="276">
        <f t="shared" si="2"/>
        <v>3177.6845000000003</v>
      </c>
      <c r="F52" s="223"/>
      <c r="G52" s="259"/>
    </row>
    <row r="53" spans="1:7" x14ac:dyDescent="0.25">
      <c r="A53" s="255">
        <v>3236</v>
      </c>
      <c r="B53" s="256" t="s">
        <v>135</v>
      </c>
      <c r="C53" s="257">
        <v>0</v>
      </c>
      <c r="D53" s="344">
        <v>0</v>
      </c>
      <c r="E53" s="276">
        <v>0</v>
      </c>
      <c r="F53" s="223"/>
      <c r="G53" s="259"/>
    </row>
    <row r="54" spans="1:7" x14ac:dyDescent="0.25">
      <c r="A54" s="255">
        <v>3237</v>
      </c>
      <c r="B54" s="256" t="s">
        <v>137</v>
      </c>
      <c r="C54" s="257">
        <v>35500</v>
      </c>
      <c r="D54" s="344">
        <v>49202.42</v>
      </c>
      <c r="E54" s="276">
        <f t="shared" si="2"/>
        <v>138.59836619718308</v>
      </c>
      <c r="F54" s="223"/>
      <c r="G54" s="259"/>
    </row>
    <row r="55" spans="1:7" x14ac:dyDescent="0.25">
      <c r="A55" s="255" t="s">
        <v>138</v>
      </c>
      <c r="B55" s="256" t="s">
        <v>139</v>
      </c>
      <c r="C55" s="257">
        <v>0</v>
      </c>
      <c r="D55" s="344">
        <f>44.93+141.97+1700</f>
        <v>1886.9</v>
      </c>
      <c r="E55" s="276">
        <v>0</v>
      </c>
      <c r="F55" s="223"/>
      <c r="G55" s="259"/>
    </row>
    <row r="56" spans="1:7" x14ac:dyDescent="0.25">
      <c r="A56" s="255" t="s">
        <v>140</v>
      </c>
      <c r="B56" s="256" t="s">
        <v>141</v>
      </c>
      <c r="C56" s="257">
        <v>15178</v>
      </c>
      <c r="D56" s="344">
        <f>39924.46+4885.24+8247.3</f>
        <v>53057</v>
      </c>
      <c r="E56" s="276">
        <f t="shared" si="2"/>
        <v>349.56516010014496</v>
      </c>
      <c r="F56" s="223"/>
      <c r="G56" s="259"/>
    </row>
    <row r="57" spans="1:7" x14ac:dyDescent="0.25">
      <c r="A57" s="260">
        <v>324</v>
      </c>
      <c r="B57" s="261" t="s">
        <v>143</v>
      </c>
      <c r="C57" s="262">
        <f>C58</f>
        <v>500</v>
      </c>
      <c r="D57" s="345">
        <f>D58</f>
        <v>4745.1000000000004</v>
      </c>
      <c r="E57" s="276">
        <f t="shared" si="2"/>
        <v>949.02000000000021</v>
      </c>
      <c r="F57" s="223"/>
      <c r="G57" s="259"/>
    </row>
    <row r="58" spans="1:7" x14ac:dyDescent="0.25">
      <c r="A58" s="255">
        <v>3241</v>
      </c>
      <c r="B58" s="256" t="s">
        <v>143</v>
      </c>
      <c r="C58" s="257">
        <v>500</v>
      </c>
      <c r="D58" s="344">
        <v>4745.1000000000004</v>
      </c>
      <c r="E58" s="276">
        <f t="shared" si="2"/>
        <v>949.02000000000021</v>
      </c>
      <c r="F58" s="223"/>
      <c r="G58" s="259"/>
    </row>
    <row r="59" spans="1:7" x14ac:dyDescent="0.25">
      <c r="A59" s="249">
        <v>329</v>
      </c>
      <c r="B59" s="250" t="s">
        <v>146</v>
      </c>
      <c r="C59" s="263">
        <f>C60+C61+C64</f>
        <v>2400</v>
      </c>
      <c r="D59" s="346">
        <f>D62+D63+D61+D60+D64</f>
        <v>3885.08</v>
      </c>
      <c r="E59" s="276">
        <f t="shared" si="2"/>
        <v>161.87833333333333</v>
      </c>
      <c r="F59" s="223"/>
      <c r="G59" s="259"/>
    </row>
    <row r="60" spans="1:7" x14ac:dyDescent="0.25">
      <c r="A60" s="255" t="s">
        <v>151</v>
      </c>
      <c r="B60" s="256" t="s">
        <v>152</v>
      </c>
      <c r="C60" s="257">
        <v>0</v>
      </c>
      <c r="D60" s="344">
        <v>0</v>
      </c>
      <c r="E60" s="276">
        <v>0</v>
      </c>
      <c r="F60" s="223"/>
      <c r="G60" s="259"/>
    </row>
    <row r="61" spans="1:7" x14ac:dyDescent="0.25">
      <c r="A61" s="255">
        <v>3294</v>
      </c>
      <c r="B61" s="256" t="s">
        <v>154</v>
      </c>
      <c r="C61" s="257">
        <v>2400</v>
      </c>
      <c r="D61" s="344">
        <f>300+1168.44+400</f>
        <v>1868.44</v>
      </c>
      <c r="E61" s="276">
        <f t="shared" si="2"/>
        <v>77.851666666666659</v>
      </c>
      <c r="F61" s="223"/>
      <c r="G61" s="259"/>
    </row>
    <row r="62" spans="1:7" x14ac:dyDescent="0.25">
      <c r="A62" s="255">
        <v>3295</v>
      </c>
      <c r="B62" s="256" t="s">
        <v>156</v>
      </c>
      <c r="C62" s="257">
        <v>0</v>
      </c>
      <c r="D62" s="344">
        <v>26.54</v>
      </c>
      <c r="E62" s="276">
        <v>0</v>
      </c>
      <c r="F62" s="223"/>
      <c r="G62" s="259"/>
    </row>
    <row r="63" spans="1:7" x14ac:dyDescent="0.25">
      <c r="A63" s="255">
        <v>3296</v>
      </c>
      <c r="B63" s="256" t="s">
        <v>158</v>
      </c>
      <c r="C63" s="257">
        <v>0</v>
      </c>
      <c r="D63" s="344">
        <v>1990.1</v>
      </c>
      <c r="E63" s="276">
        <v>0</v>
      </c>
      <c r="F63" s="223"/>
      <c r="G63" s="259"/>
    </row>
    <row r="64" spans="1:7" x14ac:dyDescent="0.25">
      <c r="A64" s="255" t="s">
        <v>159</v>
      </c>
      <c r="B64" s="256" t="s">
        <v>146</v>
      </c>
      <c r="C64" s="257">
        <v>0</v>
      </c>
      <c r="D64" s="344">
        <v>0</v>
      </c>
      <c r="E64" s="277">
        <v>0</v>
      </c>
      <c r="F64" s="223"/>
      <c r="G64" s="259"/>
    </row>
    <row r="65" spans="1:7" x14ac:dyDescent="0.25">
      <c r="A65" s="264">
        <v>34</v>
      </c>
      <c r="B65" s="265" t="s">
        <v>161</v>
      </c>
      <c r="C65" s="266">
        <f>C66</f>
        <v>0</v>
      </c>
      <c r="D65" s="347">
        <f>D66</f>
        <v>1735.93</v>
      </c>
      <c r="E65" s="276">
        <v>0</v>
      </c>
      <c r="F65" s="223"/>
      <c r="G65" s="259"/>
    </row>
    <row r="66" spans="1:7" x14ac:dyDescent="0.25">
      <c r="A66" s="249">
        <v>343</v>
      </c>
      <c r="B66" s="250" t="s">
        <v>163</v>
      </c>
      <c r="C66" s="263">
        <f>C67+C68</f>
        <v>0</v>
      </c>
      <c r="D66" s="346">
        <f>D67+D68+D69</f>
        <v>1735.93</v>
      </c>
      <c r="E66" s="276">
        <v>0</v>
      </c>
      <c r="F66" s="223"/>
      <c r="G66" s="259"/>
    </row>
    <row r="67" spans="1:7" x14ac:dyDescent="0.25">
      <c r="A67" s="255" t="s">
        <v>164</v>
      </c>
      <c r="B67" s="256" t="s">
        <v>165</v>
      </c>
      <c r="C67" s="257">
        <v>0</v>
      </c>
      <c r="D67" s="344">
        <f>27+16.32</f>
        <v>43.32</v>
      </c>
      <c r="E67" s="276">
        <v>0</v>
      </c>
      <c r="F67" s="223"/>
      <c r="G67" s="259"/>
    </row>
    <row r="68" spans="1:7" ht="31.5" x14ac:dyDescent="0.25">
      <c r="A68" s="255">
        <v>3432</v>
      </c>
      <c r="B68" s="256" t="s">
        <v>569</v>
      </c>
      <c r="C68" s="257">
        <v>0</v>
      </c>
      <c r="D68" s="344">
        <f>30+326.98</f>
        <v>356.98</v>
      </c>
      <c r="E68" s="276">
        <v>0</v>
      </c>
      <c r="F68" s="223"/>
      <c r="G68" s="259"/>
    </row>
    <row r="69" spans="1:7" x14ac:dyDescent="0.25">
      <c r="A69" s="255">
        <v>3433</v>
      </c>
      <c r="B69" s="256" t="s">
        <v>392</v>
      </c>
      <c r="C69" s="257">
        <v>0</v>
      </c>
      <c r="D69" s="344">
        <v>1335.63</v>
      </c>
      <c r="E69" s="276">
        <v>0</v>
      </c>
      <c r="F69" s="223"/>
      <c r="G69" s="259"/>
    </row>
    <row r="70" spans="1:7" ht="31.5" x14ac:dyDescent="0.25">
      <c r="A70" s="278">
        <v>37</v>
      </c>
      <c r="B70" s="279" t="s">
        <v>204</v>
      </c>
      <c r="C70" s="280">
        <v>0</v>
      </c>
      <c r="D70" s="351">
        <f>D71</f>
        <v>1156.42</v>
      </c>
      <c r="E70" s="276">
        <v>0</v>
      </c>
      <c r="F70" s="223"/>
      <c r="G70" s="259"/>
    </row>
    <row r="71" spans="1:7" x14ac:dyDescent="0.25">
      <c r="A71" s="260">
        <v>372</v>
      </c>
      <c r="B71" s="281" t="s">
        <v>570</v>
      </c>
      <c r="C71" s="262">
        <v>0</v>
      </c>
      <c r="D71" s="345">
        <f>D72</f>
        <v>1156.42</v>
      </c>
      <c r="E71" s="276">
        <v>0</v>
      </c>
      <c r="F71" s="223"/>
      <c r="G71" s="259"/>
    </row>
    <row r="72" spans="1:7" x14ac:dyDescent="0.25">
      <c r="A72" s="255">
        <v>3721</v>
      </c>
      <c r="B72" s="256" t="s">
        <v>208</v>
      </c>
      <c r="C72" s="257">
        <v>0</v>
      </c>
      <c r="D72" s="344">
        <v>1156.42</v>
      </c>
      <c r="E72" s="276">
        <v>0</v>
      </c>
      <c r="F72" s="223"/>
      <c r="G72" s="259"/>
    </row>
    <row r="73" spans="1:7" x14ac:dyDescent="0.25">
      <c r="A73" s="278">
        <v>38</v>
      </c>
      <c r="B73" s="337" t="s">
        <v>210</v>
      </c>
      <c r="C73" s="280">
        <v>0</v>
      </c>
      <c r="D73" s="351">
        <f>D74</f>
        <v>0</v>
      </c>
      <c r="E73" s="276">
        <v>0</v>
      </c>
      <c r="F73" s="223"/>
      <c r="G73" s="259"/>
    </row>
    <row r="74" spans="1:7" x14ac:dyDescent="0.25">
      <c r="A74" s="260">
        <v>381</v>
      </c>
      <c r="B74" s="261" t="s">
        <v>212</v>
      </c>
      <c r="C74" s="262">
        <f>C75</f>
        <v>0</v>
      </c>
      <c r="D74" s="345">
        <f>D75</f>
        <v>0</v>
      </c>
      <c r="E74" s="276">
        <v>0</v>
      </c>
      <c r="F74" s="223"/>
      <c r="G74" s="259"/>
    </row>
    <row r="75" spans="1:7" x14ac:dyDescent="0.25">
      <c r="A75" s="267">
        <v>3811</v>
      </c>
      <c r="B75" s="268" t="s">
        <v>214</v>
      </c>
      <c r="C75" s="269">
        <v>0</v>
      </c>
      <c r="D75" s="348">
        <v>0</v>
      </c>
      <c r="E75" s="276">
        <v>0</v>
      </c>
      <c r="F75" s="223"/>
      <c r="G75" s="259"/>
    </row>
    <row r="76" spans="1:7" x14ac:dyDescent="0.25">
      <c r="A76" s="234" t="s">
        <v>534</v>
      </c>
      <c r="B76" s="235" t="s">
        <v>581</v>
      </c>
      <c r="C76" s="236">
        <f>C77+C120</f>
        <v>1203603</v>
      </c>
      <c r="D76" s="339">
        <f>D77+D120</f>
        <v>1160741.95</v>
      </c>
      <c r="E76" s="236">
        <f>SUM(D76/C76*100)</f>
        <v>96.438937922221854</v>
      </c>
      <c r="F76" s="223"/>
      <c r="G76" s="259"/>
    </row>
    <row r="77" spans="1:7" s="254" customFormat="1" x14ac:dyDescent="0.25">
      <c r="A77" s="237">
        <v>31</v>
      </c>
      <c r="B77" s="237" t="s">
        <v>485</v>
      </c>
      <c r="C77" s="238">
        <f t="shared" ref="C77" si="3">SUM(C78)</f>
        <v>513265</v>
      </c>
      <c r="D77" s="340">
        <f>SUM(D78)</f>
        <v>491780.01999999996</v>
      </c>
      <c r="E77" s="238">
        <f t="shared" ref="E77" si="4">SUM(E78)</f>
        <v>95.814057066038004</v>
      </c>
      <c r="F77" s="223"/>
      <c r="G77" s="253"/>
    </row>
    <row r="78" spans="1:7" s="254" customFormat="1" x14ac:dyDescent="0.25">
      <c r="A78" s="241">
        <v>3</v>
      </c>
      <c r="B78" s="242" t="s">
        <v>82</v>
      </c>
      <c r="C78" s="243">
        <f>SUM(C79,C86)+C109+C114+C117</f>
        <v>513265</v>
      </c>
      <c r="D78" s="341">
        <f>SUM(D79,D86)+D109+D117</f>
        <v>491780.01999999996</v>
      </c>
      <c r="E78" s="243">
        <f>SUM(D78/C78*100)</f>
        <v>95.814057066038004</v>
      </c>
      <c r="F78" s="223"/>
      <c r="G78" s="253"/>
    </row>
    <row r="79" spans="1:7" s="224" customFormat="1" ht="15.75" customHeight="1" x14ac:dyDescent="0.25">
      <c r="A79" s="293">
        <v>31</v>
      </c>
      <c r="B79" s="294" t="s">
        <v>84</v>
      </c>
      <c r="C79" s="295">
        <f>C80+C82+C84</f>
        <v>438265</v>
      </c>
      <c r="D79" s="353">
        <f>D80+D82+D84</f>
        <v>462274.51999999996</v>
      </c>
      <c r="E79" s="296">
        <f>SUM(D79/C79*100)</f>
        <v>105.47831106750481</v>
      </c>
      <c r="F79" s="223"/>
      <c r="G79" s="223"/>
    </row>
    <row r="80" spans="1:7" s="254" customFormat="1" ht="15.75" customHeight="1" x14ac:dyDescent="0.25">
      <c r="A80" s="297">
        <v>311</v>
      </c>
      <c r="B80" s="298" t="s">
        <v>568</v>
      </c>
      <c r="C80" s="299">
        <f>C81</f>
        <v>195936</v>
      </c>
      <c r="D80" s="354">
        <f>SUM(D81)</f>
        <v>185207.12</v>
      </c>
      <c r="E80" s="287">
        <f t="shared" ref="E80:E85" si="5">SUM(D80/C80*100)</f>
        <v>94.524293646905107</v>
      </c>
      <c r="F80" s="223"/>
      <c r="G80" s="253"/>
    </row>
    <row r="81" spans="1:7" ht="15.75" customHeight="1" x14ac:dyDescent="0.25">
      <c r="A81" s="288">
        <v>3111</v>
      </c>
      <c r="B81" s="289" t="s">
        <v>88</v>
      </c>
      <c r="C81" s="290">
        <v>195936</v>
      </c>
      <c r="D81" s="355">
        <v>185207.12</v>
      </c>
      <c r="E81" s="291">
        <f t="shared" si="5"/>
        <v>94.524293646905107</v>
      </c>
      <c r="F81" s="223"/>
      <c r="G81" s="259"/>
    </row>
    <row r="82" spans="1:7" ht="15.75" customHeight="1" x14ac:dyDescent="0.25">
      <c r="A82" s="285">
        <v>312</v>
      </c>
      <c r="B82" s="281" t="s">
        <v>572</v>
      </c>
      <c r="C82" s="286">
        <f>C83</f>
        <v>210000</v>
      </c>
      <c r="D82" s="356">
        <f>D83</f>
        <v>246523.71</v>
      </c>
      <c r="E82" s="287">
        <f t="shared" si="5"/>
        <v>117.39224285714285</v>
      </c>
      <c r="F82" s="223"/>
      <c r="G82" s="259"/>
    </row>
    <row r="83" spans="1:7" ht="15.75" customHeight="1" x14ac:dyDescent="0.25">
      <c r="A83" s="300">
        <v>3121</v>
      </c>
      <c r="B83" s="301" t="s">
        <v>572</v>
      </c>
      <c r="C83" s="290">
        <v>210000</v>
      </c>
      <c r="D83" s="355">
        <v>246523.71</v>
      </c>
      <c r="E83" s="291">
        <f t="shared" si="5"/>
        <v>117.39224285714285</v>
      </c>
      <c r="F83" s="223"/>
      <c r="G83" s="259"/>
    </row>
    <row r="84" spans="1:7" ht="15.75" customHeight="1" x14ac:dyDescent="0.25">
      <c r="A84" s="285">
        <v>313</v>
      </c>
      <c r="B84" s="281" t="s">
        <v>95</v>
      </c>
      <c r="C84" s="286">
        <f>C85</f>
        <v>32329</v>
      </c>
      <c r="D84" s="356">
        <f>D85</f>
        <v>30543.69</v>
      </c>
      <c r="E84" s="287">
        <f t="shared" si="5"/>
        <v>94.47768257601534</v>
      </c>
      <c r="F84" s="223"/>
      <c r="G84" s="259"/>
    </row>
    <row r="85" spans="1:7" ht="15.75" customHeight="1" x14ac:dyDescent="0.25">
      <c r="A85" s="300">
        <v>3132</v>
      </c>
      <c r="B85" s="301" t="s">
        <v>573</v>
      </c>
      <c r="C85" s="290">
        <v>32329</v>
      </c>
      <c r="D85" s="355">
        <v>30543.69</v>
      </c>
      <c r="E85" s="291">
        <f t="shared" si="5"/>
        <v>94.47768257601534</v>
      </c>
      <c r="F85" s="223"/>
      <c r="G85" s="259"/>
    </row>
    <row r="86" spans="1:7" s="224" customFormat="1" ht="15.75" customHeight="1" x14ac:dyDescent="0.25">
      <c r="A86" s="302">
        <v>32</v>
      </c>
      <c r="B86" s="303" t="s">
        <v>99</v>
      </c>
      <c r="C86" s="304">
        <f>C87+C91+C94+C102+C104</f>
        <v>71500</v>
      </c>
      <c r="D86" s="357">
        <f>D87+D91+D94+D102+D104</f>
        <v>25899.33</v>
      </c>
      <c r="E86" s="284">
        <f>SUM(D86/C86*100)</f>
        <v>36.222839160839165</v>
      </c>
      <c r="F86" s="223"/>
      <c r="G86" s="223"/>
    </row>
    <row r="87" spans="1:7" s="224" customFormat="1" ht="15.75" customHeight="1" x14ac:dyDescent="0.25">
      <c r="A87" s="285">
        <v>321</v>
      </c>
      <c r="B87" s="281" t="s">
        <v>101</v>
      </c>
      <c r="C87" s="286">
        <f>C88+C90+C89</f>
        <v>15500</v>
      </c>
      <c r="D87" s="356">
        <f>D88</f>
        <v>0</v>
      </c>
      <c r="E87" s="287">
        <f t="shared" ref="E87:E119" si="6">SUM(D87/C87*100)</f>
        <v>0</v>
      </c>
      <c r="F87" s="223"/>
      <c r="G87" s="223"/>
    </row>
    <row r="88" spans="1:7" s="224" customFormat="1" ht="15.75" customHeight="1" x14ac:dyDescent="0.25">
      <c r="A88" s="300">
        <v>3211</v>
      </c>
      <c r="B88" s="301" t="s">
        <v>103</v>
      </c>
      <c r="C88" s="305">
        <v>5000</v>
      </c>
      <c r="D88" s="358">
        <v>0</v>
      </c>
      <c r="E88" s="291">
        <v>0</v>
      </c>
      <c r="F88" s="223"/>
      <c r="G88" s="223"/>
    </row>
    <row r="89" spans="1:7" s="224" customFormat="1" ht="15.75" customHeight="1" x14ac:dyDescent="0.25">
      <c r="A89" s="300">
        <v>3213</v>
      </c>
      <c r="B89" s="301" t="s">
        <v>107</v>
      </c>
      <c r="C89" s="305">
        <v>5500</v>
      </c>
      <c r="D89" s="358">
        <v>0</v>
      </c>
      <c r="E89" s="291">
        <v>1</v>
      </c>
      <c r="F89" s="223"/>
      <c r="G89" s="223"/>
    </row>
    <row r="90" spans="1:7" s="224" customFormat="1" ht="15.75" customHeight="1" x14ac:dyDescent="0.25">
      <c r="A90" s="300">
        <v>3214</v>
      </c>
      <c r="B90" s="301" t="s">
        <v>574</v>
      </c>
      <c r="C90" s="305">
        <v>5000</v>
      </c>
      <c r="D90" s="358">
        <v>0</v>
      </c>
      <c r="E90" s="291">
        <f t="shared" ref="E90" si="7">SUM(D90/C90*100)</f>
        <v>0</v>
      </c>
      <c r="F90" s="223"/>
      <c r="G90" s="223"/>
    </row>
    <row r="91" spans="1:7" s="254" customFormat="1" ht="15.75" customHeight="1" x14ac:dyDescent="0.25">
      <c r="A91" s="297">
        <v>322</v>
      </c>
      <c r="B91" s="298" t="s">
        <v>111</v>
      </c>
      <c r="C91" s="299">
        <f>C92+C93</f>
        <v>11000</v>
      </c>
      <c r="D91" s="354">
        <f>D92</f>
        <v>66.36</v>
      </c>
      <c r="E91" s="284">
        <f t="shared" si="6"/>
        <v>0.60327272727272729</v>
      </c>
      <c r="F91" s="223"/>
      <c r="G91" s="253"/>
    </row>
    <row r="92" spans="1:7" ht="15.75" customHeight="1" x14ac:dyDescent="0.25">
      <c r="A92" s="288" t="s">
        <v>112</v>
      </c>
      <c r="B92" s="289" t="s">
        <v>113</v>
      </c>
      <c r="C92" s="290">
        <v>10000</v>
      </c>
      <c r="D92" s="418">
        <v>66.36</v>
      </c>
      <c r="E92" s="284">
        <f t="shared" si="6"/>
        <v>0.66359999999999997</v>
      </c>
      <c r="F92" s="223"/>
    </row>
    <row r="93" spans="1:7" ht="15.75" customHeight="1" x14ac:dyDescent="0.25">
      <c r="A93" s="288">
        <v>3225</v>
      </c>
      <c r="B93" s="289" t="s">
        <v>119</v>
      </c>
      <c r="C93" s="290">
        <v>1000</v>
      </c>
      <c r="D93" s="418">
        <v>0</v>
      </c>
      <c r="E93" s="284">
        <f t="shared" si="6"/>
        <v>0</v>
      </c>
      <c r="F93" s="223"/>
    </row>
    <row r="94" spans="1:7" ht="15.75" customHeight="1" x14ac:dyDescent="0.25">
      <c r="A94" s="285">
        <v>323</v>
      </c>
      <c r="B94" s="281" t="s">
        <v>123</v>
      </c>
      <c r="C94" s="286">
        <f>C95+C97+C98+C99+C101</f>
        <v>33500</v>
      </c>
      <c r="D94" s="423">
        <f>D95+D99+D101+D97+D98+D96+D100</f>
        <v>25482.97</v>
      </c>
      <c r="E94" s="284">
        <f t="shared" si="6"/>
        <v>76.068567164179115</v>
      </c>
      <c r="F94" s="223"/>
    </row>
    <row r="95" spans="1:7" ht="15.75" customHeight="1" x14ac:dyDescent="0.25">
      <c r="A95" s="288">
        <v>3231</v>
      </c>
      <c r="B95" s="289" t="s">
        <v>125</v>
      </c>
      <c r="C95" s="290">
        <v>2200</v>
      </c>
      <c r="D95" s="418">
        <v>0</v>
      </c>
      <c r="E95" s="291">
        <v>0</v>
      </c>
      <c r="F95" s="223"/>
    </row>
    <row r="96" spans="1:7" ht="15.75" customHeight="1" x14ac:dyDescent="0.25">
      <c r="A96" s="288">
        <v>3232</v>
      </c>
      <c r="B96" s="289" t="s">
        <v>127</v>
      </c>
      <c r="C96" s="290">
        <v>0</v>
      </c>
      <c r="D96" s="418">
        <v>1191.25</v>
      </c>
      <c r="E96" s="291">
        <v>0</v>
      </c>
      <c r="F96" s="223"/>
    </row>
    <row r="97" spans="1:6" ht="15.75" customHeight="1" x14ac:dyDescent="0.25">
      <c r="A97" s="288">
        <v>3233</v>
      </c>
      <c r="B97" s="289" t="s">
        <v>129</v>
      </c>
      <c r="C97" s="290">
        <v>1800</v>
      </c>
      <c r="D97" s="418">
        <v>0</v>
      </c>
      <c r="E97" s="291">
        <f t="shared" si="6"/>
        <v>0</v>
      </c>
      <c r="F97" s="223"/>
    </row>
    <row r="98" spans="1:6" ht="15.75" customHeight="1" x14ac:dyDescent="0.25">
      <c r="A98" s="288">
        <v>3235</v>
      </c>
      <c r="B98" s="289" t="s">
        <v>133</v>
      </c>
      <c r="C98" s="290">
        <v>0</v>
      </c>
      <c r="D98" s="418">
        <v>0</v>
      </c>
      <c r="E98" s="291">
        <v>0</v>
      </c>
      <c r="F98" s="223"/>
    </row>
    <row r="99" spans="1:6" ht="15.75" customHeight="1" x14ac:dyDescent="0.25">
      <c r="A99" s="288">
        <v>3237</v>
      </c>
      <c r="B99" s="289" t="s">
        <v>137</v>
      </c>
      <c r="C99" s="290">
        <v>27000</v>
      </c>
      <c r="D99" s="418">
        <v>24291.72</v>
      </c>
      <c r="E99" s="291">
        <f t="shared" si="6"/>
        <v>89.969333333333338</v>
      </c>
      <c r="F99" s="223"/>
    </row>
    <row r="100" spans="1:6" ht="15.75" customHeight="1" x14ac:dyDescent="0.25">
      <c r="A100" s="288">
        <v>3238</v>
      </c>
      <c r="B100" s="289" t="s">
        <v>139</v>
      </c>
      <c r="C100" s="290">
        <v>0</v>
      </c>
      <c r="D100" s="418">
        <v>0</v>
      </c>
      <c r="E100" s="291">
        <v>0</v>
      </c>
      <c r="F100" s="223"/>
    </row>
    <row r="101" spans="1:6" ht="15.75" customHeight="1" x14ac:dyDescent="0.25">
      <c r="A101" s="288">
        <v>3239</v>
      </c>
      <c r="B101" s="289" t="s">
        <v>141</v>
      </c>
      <c r="C101" s="290">
        <v>2500</v>
      </c>
      <c r="D101" s="418">
        <v>0</v>
      </c>
      <c r="E101" s="291">
        <f t="shared" si="6"/>
        <v>0</v>
      </c>
      <c r="F101" s="223"/>
    </row>
    <row r="102" spans="1:6" ht="15.75" customHeight="1" x14ac:dyDescent="0.25">
      <c r="A102" s="285">
        <v>324</v>
      </c>
      <c r="B102" s="281" t="s">
        <v>143</v>
      </c>
      <c r="C102" s="286">
        <f>C103</f>
        <v>0</v>
      </c>
      <c r="D102" s="423">
        <f>D103</f>
        <v>350</v>
      </c>
      <c r="E102" s="291">
        <v>0</v>
      </c>
      <c r="F102" s="223"/>
    </row>
    <row r="103" spans="1:6" ht="15.75" customHeight="1" x14ac:dyDescent="0.25">
      <c r="A103" s="288">
        <v>3241</v>
      </c>
      <c r="B103" s="289" t="s">
        <v>143</v>
      </c>
      <c r="C103" s="290">
        <v>0</v>
      </c>
      <c r="D103" s="418">
        <v>350</v>
      </c>
      <c r="E103" s="291">
        <v>0</v>
      </c>
      <c r="F103" s="223"/>
    </row>
    <row r="104" spans="1:6" ht="15.75" customHeight="1" x14ac:dyDescent="0.25">
      <c r="A104" s="285">
        <v>329</v>
      </c>
      <c r="B104" s="281" t="s">
        <v>146</v>
      </c>
      <c r="C104" s="286">
        <f>C105+C106+C108</f>
        <v>11500</v>
      </c>
      <c r="D104" s="423">
        <f>D107</f>
        <v>0</v>
      </c>
      <c r="E104" s="291">
        <f t="shared" si="6"/>
        <v>0</v>
      </c>
      <c r="F104" s="223"/>
    </row>
    <row r="105" spans="1:6" ht="15.75" customHeight="1" x14ac:dyDescent="0.25">
      <c r="A105" s="300">
        <v>3292</v>
      </c>
      <c r="B105" s="301" t="s">
        <v>150</v>
      </c>
      <c r="C105" s="290">
        <v>0</v>
      </c>
      <c r="D105" s="462">
        <v>0</v>
      </c>
      <c r="E105" s="291">
        <v>0</v>
      </c>
      <c r="F105" s="223"/>
    </row>
    <row r="106" spans="1:6" ht="15.75" customHeight="1" x14ac:dyDescent="0.25">
      <c r="A106" s="288">
        <v>3293</v>
      </c>
      <c r="B106" s="289" t="s">
        <v>152</v>
      </c>
      <c r="C106" s="290">
        <v>10000</v>
      </c>
      <c r="D106" s="418">
        <v>0</v>
      </c>
      <c r="E106" s="291">
        <f t="shared" si="6"/>
        <v>0</v>
      </c>
      <c r="F106" s="223"/>
    </row>
    <row r="107" spans="1:6" ht="15.75" customHeight="1" x14ac:dyDescent="0.25">
      <c r="A107" s="288">
        <v>3294</v>
      </c>
      <c r="B107" s="289" t="s">
        <v>154</v>
      </c>
      <c r="C107" s="290">
        <v>0</v>
      </c>
      <c r="D107" s="418">
        <v>0</v>
      </c>
      <c r="E107" s="291">
        <v>0</v>
      </c>
      <c r="F107" s="223"/>
    </row>
    <row r="108" spans="1:6" ht="15.75" customHeight="1" x14ac:dyDescent="0.25">
      <c r="A108" s="288">
        <v>3296</v>
      </c>
      <c r="B108" s="289" t="s">
        <v>158</v>
      </c>
      <c r="C108" s="290">
        <v>1500</v>
      </c>
      <c r="D108" s="418">
        <v>0</v>
      </c>
      <c r="E108" s="291">
        <f t="shared" si="6"/>
        <v>0</v>
      </c>
      <c r="F108" s="223"/>
    </row>
    <row r="109" spans="1:6" ht="15.75" customHeight="1" x14ac:dyDescent="0.25">
      <c r="A109" s="282">
        <v>34</v>
      </c>
      <c r="B109" s="279" t="s">
        <v>161</v>
      </c>
      <c r="C109" s="283">
        <f>C110</f>
        <v>0</v>
      </c>
      <c r="D109" s="463">
        <f>D110</f>
        <v>0</v>
      </c>
      <c r="E109" s="291">
        <v>0</v>
      </c>
      <c r="F109" s="223"/>
    </row>
    <row r="110" spans="1:6" ht="15.75" customHeight="1" x14ac:dyDescent="0.25">
      <c r="A110" s="285">
        <v>343</v>
      </c>
      <c r="B110" s="281" t="s">
        <v>163</v>
      </c>
      <c r="C110" s="286">
        <f>C111+C113</f>
        <v>0</v>
      </c>
      <c r="D110" s="423">
        <f>D111+D112</f>
        <v>0</v>
      </c>
      <c r="E110" s="291">
        <v>0</v>
      </c>
      <c r="F110" s="223"/>
    </row>
    <row r="111" spans="1:6" ht="15.75" customHeight="1" x14ac:dyDescent="0.25">
      <c r="A111" s="288">
        <v>3431</v>
      </c>
      <c r="B111" s="289" t="s">
        <v>165</v>
      </c>
      <c r="C111" s="290">
        <v>0</v>
      </c>
      <c r="D111" s="418">
        <v>0</v>
      </c>
      <c r="E111" s="291">
        <v>0</v>
      </c>
      <c r="F111" s="223"/>
    </row>
    <row r="112" spans="1:6" ht="30.75" customHeight="1" x14ac:dyDescent="0.25">
      <c r="A112" s="288">
        <v>3432</v>
      </c>
      <c r="B112" s="289" t="s">
        <v>595</v>
      </c>
      <c r="C112" s="290">
        <v>0</v>
      </c>
      <c r="D112" s="418">
        <v>0</v>
      </c>
      <c r="E112" s="291">
        <v>0</v>
      </c>
      <c r="F112" s="223"/>
    </row>
    <row r="113" spans="1:7" ht="15.75" customHeight="1" x14ac:dyDescent="0.25">
      <c r="A113" s="288">
        <v>3434</v>
      </c>
      <c r="B113" s="289" t="s">
        <v>394</v>
      </c>
      <c r="C113" s="290">
        <v>0</v>
      </c>
      <c r="D113" s="418">
        <v>0</v>
      </c>
      <c r="E113" s="291">
        <v>0</v>
      </c>
      <c r="F113" s="223"/>
    </row>
    <row r="114" spans="1:7" ht="31.5" customHeight="1" x14ac:dyDescent="0.25">
      <c r="A114" s="282">
        <v>37</v>
      </c>
      <c r="B114" s="279" t="s">
        <v>204</v>
      </c>
      <c r="C114" s="283">
        <f>C115</f>
        <v>0</v>
      </c>
      <c r="D114" s="418">
        <v>0</v>
      </c>
      <c r="E114" s="291">
        <v>0</v>
      </c>
      <c r="F114" s="223"/>
    </row>
    <row r="115" spans="1:7" ht="15.75" customHeight="1" x14ac:dyDescent="0.25">
      <c r="A115" s="285">
        <v>372</v>
      </c>
      <c r="B115" s="281" t="s">
        <v>570</v>
      </c>
      <c r="C115" s="286">
        <f>C116</f>
        <v>0</v>
      </c>
      <c r="D115" s="418">
        <v>0</v>
      </c>
      <c r="E115" s="291">
        <v>0</v>
      </c>
      <c r="F115" s="223"/>
    </row>
    <row r="116" spans="1:7" ht="15.75" customHeight="1" x14ac:dyDescent="0.25">
      <c r="A116" s="288">
        <v>3721</v>
      </c>
      <c r="B116" s="289" t="s">
        <v>571</v>
      </c>
      <c r="C116" s="290">
        <v>0</v>
      </c>
      <c r="D116" s="418">
        <v>0</v>
      </c>
      <c r="E116" s="291">
        <v>0</v>
      </c>
      <c r="F116" s="223"/>
    </row>
    <row r="117" spans="1:7" ht="15.75" customHeight="1" x14ac:dyDescent="0.25">
      <c r="A117" s="282">
        <v>38</v>
      </c>
      <c r="B117" s="279" t="s">
        <v>575</v>
      </c>
      <c r="C117" s="283">
        <f>C118</f>
        <v>3500</v>
      </c>
      <c r="D117" s="463">
        <f>D118</f>
        <v>3606.17</v>
      </c>
      <c r="E117" s="284">
        <f t="shared" si="6"/>
        <v>103.03342857142856</v>
      </c>
      <c r="F117" s="223"/>
    </row>
    <row r="118" spans="1:7" ht="15.75" customHeight="1" x14ac:dyDescent="0.25">
      <c r="A118" s="285">
        <v>381</v>
      </c>
      <c r="B118" s="281" t="s">
        <v>576</v>
      </c>
      <c r="C118" s="286">
        <f>C119</f>
        <v>3500</v>
      </c>
      <c r="D118" s="423">
        <f>D119</f>
        <v>3606.17</v>
      </c>
      <c r="E118" s="287">
        <f t="shared" si="6"/>
        <v>103.03342857142856</v>
      </c>
      <c r="F118" s="223"/>
    </row>
    <row r="119" spans="1:7" ht="15.75" customHeight="1" x14ac:dyDescent="0.25">
      <c r="A119" s="306">
        <v>3811</v>
      </c>
      <c r="B119" s="307" t="s">
        <v>214</v>
      </c>
      <c r="C119" s="308">
        <v>3500</v>
      </c>
      <c r="D119" s="434">
        <v>3606.17</v>
      </c>
      <c r="E119" s="309">
        <f t="shared" si="6"/>
        <v>103.03342857142856</v>
      </c>
      <c r="F119" s="223"/>
    </row>
    <row r="120" spans="1:7" s="254" customFormat="1" x14ac:dyDescent="0.25">
      <c r="A120" s="237">
        <v>43</v>
      </c>
      <c r="B120" s="237" t="s">
        <v>58</v>
      </c>
      <c r="C120" s="310">
        <f t="shared" ref="C120:D120" si="8">SUM(C121)</f>
        <v>690338</v>
      </c>
      <c r="D120" s="359">
        <f t="shared" si="8"/>
        <v>668961.92999999993</v>
      </c>
      <c r="E120" s="311">
        <f t="shared" ref="E120" si="9">(D120/C120)*100</f>
        <v>96.903535659343675</v>
      </c>
      <c r="F120" s="223"/>
      <c r="G120" s="253"/>
    </row>
    <row r="121" spans="1:7" s="254" customFormat="1" x14ac:dyDescent="0.25">
      <c r="A121" s="241">
        <v>3</v>
      </c>
      <c r="B121" s="242" t="s">
        <v>82</v>
      </c>
      <c r="C121" s="292">
        <f>SUM(C122,C130,C161)+C166</f>
        <v>690338</v>
      </c>
      <c r="D121" s="352">
        <f>SUM(D122,D130,D161)+D166</f>
        <v>668961.92999999993</v>
      </c>
      <c r="E121" s="292">
        <f>(D121/C121)*100</f>
        <v>96.903535659343675</v>
      </c>
      <c r="F121" s="223"/>
      <c r="G121" s="253"/>
    </row>
    <row r="122" spans="1:7" s="224" customFormat="1" ht="15.75" customHeight="1" x14ac:dyDescent="0.25">
      <c r="A122" s="405">
        <v>31</v>
      </c>
      <c r="B122" s="406" t="s">
        <v>84</v>
      </c>
      <c r="C122" s="459">
        <f>C123+C126+C128</f>
        <v>242975</v>
      </c>
      <c r="D122" s="460">
        <f>SUM(D126)+D123+D128</f>
        <v>268882.84999999998</v>
      </c>
      <c r="E122" s="323">
        <f>(D122/C122)*100</f>
        <v>110.66276365881262</v>
      </c>
      <c r="F122" s="223"/>
      <c r="G122" s="223"/>
    </row>
    <row r="123" spans="1:7" s="224" customFormat="1" ht="15.75" customHeight="1" x14ac:dyDescent="0.25">
      <c r="A123" s="297">
        <v>311</v>
      </c>
      <c r="B123" s="298" t="s">
        <v>568</v>
      </c>
      <c r="C123" s="299">
        <f>C124+C125</f>
        <v>209000</v>
      </c>
      <c r="D123" s="354">
        <f>D124+D125</f>
        <v>227778.15</v>
      </c>
      <c r="E123" s="287">
        <f t="shared" ref="E123:E129" si="10">SUM(D123/C123*100)</f>
        <v>108.98476076555023</v>
      </c>
      <c r="F123" s="223"/>
      <c r="G123" s="223"/>
    </row>
    <row r="124" spans="1:7" s="224" customFormat="1" ht="15.75" customHeight="1" x14ac:dyDescent="0.25">
      <c r="A124" s="288">
        <v>3111</v>
      </c>
      <c r="B124" s="289" t="s">
        <v>88</v>
      </c>
      <c r="C124" s="290">
        <v>195000</v>
      </c>
      <c r="D124" s="355">
        <v>211950.94</v>
      </c>
      <c r="E124" s="291">
        <f t="shared" si="10"/>
        <v>108.69278974358974</v>
      </c>
      <c r="F124" s="223"/>
      <c r="G124" s="223"/>
    </row>
    <row r="125" spans="1:7" s="224" customFormat="1" ht="15.75" customHeight="1" x14ac:dyDescent="0.25">
      <c r="A125" s="288">
        <v>3113</v>
      </c>
      <c r="B125" s="289" t="s">
        <v>90</v>
      </c>
      <c r="C125" s="290">
        <v>14000</v>
      </c>
      <c r="D125" s="355">
        <v>15827.21</v>
      </c>
      <c r="E125" s="291">
        <f t="shared" si="10"/>
        <v>113.05149999999999</v>
      </c>
      <c r="F125" s="223"/>
      <c r="G125" s="223"/>
    </row>
    <row r="126" spans="1:7" s="254" customFormat="1" ht="15.75" customHeight="1" x14ac:dyDescent="0.25">
      <c r="A126" s="410">
        <v>312</v>
      </c>
      <c r="B126" s="411" t="s">
        <v>572</v>
      </c>
      <c r="C126" s="424">
        <f>C127</f>
        <v>1800</v>
      </c>
      <c r="D126" s="425">
        <f>SUM(D127)</f>
        <v>3425.32</v>
      </c>
      <c r="E126" s="287">
        <f t="shared" si="10"/>
        <v>190.29555555555558</v>
      </c>
      <c r="F126" s="223"/>
      <c r="G126" s="253"/>
    </row>
    <row r="127" spans="1:7" x14ac:dyDescent="0.25">
      <c r="A127" s="415" t="s">
        <v>93</v>
      </c>
      <c r="B127" s="416" t="s">
        <v>572</v>
      </c>
      <c r="C127" s="417">
        <v>1800</v>
      </c>
      <c r="D127" s="418">
        <v>3425.32</v>
      </c>
      <c r="E127" s="291">
        <f t="shared" si="10"/>
        <v>190.29555555555558</v>
      </c>
      <c r="F127" s="223"/>
      <c r="G127" s="259"/>
    </row>
    <row r="128" spans="1:7" x14ac:dyDescent="0.25">
      <c r="A128" s="285">
        <v>313</v>
      </c>
      <c r="B128" s="281" t="s">
        <v>95</v>
      </c>
      <c r="C128" s="286">
        <f>C129</f>
        <v>32175</v>
      </c>
      <c r="D128" s="356">
        <f>D129</f>
        <v>37679.379999999997</v>
      </c>
      <c r="E128" s="287">
        <f t="shared" si="10"/>
        <v>117.10763014763015</v>
      </c>
      <c r="F128" s="223"/>
      <c r="G128" s="259"/>
    </row>
    <row r="129" spans="1:7" x14ac:dyDescent="0.25">
      <c r="A129" s="300">
        <v>3132</v>
      </c>
      <c r="B129" s="301" t="s">
        <v>573</v>
      </c>
      <c r="C129" s="290">
        <v>32175</v>
      </c>
      <c r="D129" s="355">
        <v>37679.379999999997</v>
      </c>
      <c r="E129" s="291">
        <f t="shared" si="10"/>
        <v>117.10763014763015</v>
      </c>
      <c r="F129" s="223"/>
      <c r="G129" s="259"/>
    </row>
    <row r="130" spans="1:7" s="224" customFormat="1" ht="15.75" customHeight="1" x14ac:dyDescent="0.25">
      <c r="A130" s="426">
        <v>32</v>
      </c>
      <c r="B130" s="427" t="s">
        <v>99</v>
      </c>
      <c r="C130" s="428">
        <f>C131+C136+C142+C152+C154</f>
        <v>440931</v>
      </c>
      <c r="D130" s="429">
        <f>SUM(D131,D136,D142,D154)+D152</f>
        <v>397126.13</v>
      </c>
      <c r="E130" s="325">
        <f>(D130/C130)*100</f>
        <v>90.065368504369175</v>
      </c>
      <c r="F130" s="223"/>
      <c r="G130" s="223"/>
    </row>
    <row r="131" spans="1:7" s="254" customFormat="1" ht="15.75" customHeight="1" x14ac:dyDescent="0.25">
      <c r="A131" s="410">
        <v>321</v>
      </c>
      <c r="B131" s="411" t="s">
        <v>101</v>
      </c>
      <c r="C131" s="424">
        <f>C132+C133+C134</f>
        <v>20200</v>
      </c>
      <c r="D131" s="425">
        <f>SUM(D132:D133)+D134+D135</f>
        <v>32402.030000000002</v>
      </c>
      <c r="E131" s="329">
        <f t="shared" ref="E131:E160" si="11">(D131/C131)*100</f>
        <v>160.40608910891089</v>
      </c>
      <c r="F131" s="223"/>
      <c r="G131" s="253"/>
    </row>
    <row r="132" spans="1:7" x14ac:dyDescent="0.25">
      <c r="A132" s="415" t="s">
        <v>102</v>
      </c>
      <c r="B132" s="416" t="s">
        <v>103</v>
      </c>
      <c r="C132" s="417">
        <v>18000</v>
      </c>
      <c r="D132" s="418">
        <v>28239.34</v>
      </c>
      <c r="E132" s="330">
        <f t="shared" si="11"/>
        <v>156.88522222222224</v>
      </c>
      <c r="F132" s="223"/>
      <c r="G132" s="259"/>
    </row>
    <row r="133" spans="1:7" x14ac:dyDescent="0.25">
      <c r="A133" s="415" t="s">
        <v>104</v>
      </c>
      <c r="B133" s="416" t="s">
        <v>105</v>
      </c>
      <c r="C133" s="417">
        <v>1700</v>
      </c>
      <c r="D133" s="418">
        <v>1869.31</v>
      </c>
      <c r="E133" s="330">
        <f t="shared" si="11"/>
        <v>109.95941176470588</v>
      </c>
      <c r="F133" s="223"/>
      <c r="G133" s="259"/>
    </row>
    <row r="134" spans="1:7" x14ac:dyDescent="0.25">
      <c r="A134" s="415">
        <v>3213</v>
      </c>
      <c r="B134" s="416" t="s">
        <v>107</v>
      </c>
      <c r="C134" s="417">
        <v>500</v>
      </c>
      <c r="D134" s="418">
        <v>2157.88</v>
      </c>
      <c r="E134" s="330">
        <f t="shared" si="11"/>
        <v>431.57600000000002</v>
      </c>
      <c r="F134" s="223"/>
      <c r="G134" s="259"/>
    </row>
    <row r="135" spans="1:7" ht="31.5" x14ac:dyDescent="0.25">
      <c r="A135" s="415">
        <v>3214</v>
      </c>
      <c r="B135" s="416" t="s">
        <v>586</v>
      </c>
      <c r="C135" s="417">
        <v>0</v>
      </c>
      <c r="D135" s="418">
        <v>135.5</v>
      </c>
      <c r="E135" s="330"/>
      <c r="F135" s="223"/>
      <c r="G135" s="259"/>
    </row>
    <row r="136" spans="1:7" s="254" customFormat="1" ht="15.75" customHeight="1" x14ac:dyDescent="0.25">
      <c r="A136" s="410">
        <v>322</v>
      </c>
      <c r="B136" s="411" t="s">
        <v>111</v>
      </c>
      <c r="C136" s="424">
        <f>C137+C138+C139+C140+C141</f>
        <v>43300</v>
      </c>
      <c r="D136" s="425">
        <f>D137+D138+D139+D140+D141</f>
        <v>64507.02</v>
      </c>
      <c r="E136" s="329">
        <f t="shared" si="11"/>
        <v>148.97695150115473</v>
      </c>
      <c r="F136" s="223"/>
      <c r="G136" s="253"/>
    </row>
    <row r="137" spans="1:7" x14ac:dyDescent="0.25">
      <c r="A137" s="415" t="s">
        <v>112</v>
      </c>
      <c r="B137" s="416" t="s">
        <v>113</v>
      </c>
      <c r="C137" s="417">
        <v>18175</v>
      </c>
      <c r="D137" s="418">
        <v>19624.95</v>
      </c>
      <c r="E137" s="330">
        <f t="shared" si="11"/>
        <v>107.9777166437414</v>
      </c>
      <c r="F137" s="223"/>
      <c r="G137" s="259"/>
    </row>
    <row r="138" spans="1:7" x14ac:dyDescent="0.25">
      <c r="A138" s="415" t="s">
        <v>114</v>
      </c>
      <c r="B138" s="416" t="s">
        <v>115</v>
      </c>
      <c r="C138" s="417">
        <v>3250</v>
      </c>
      <c r="D138" s="418">
        <v>21099</v>
      </c>
      <c r="E138" s="330">
        <f t="shared" si="11"/>
        <v>649.20000000000005</v>
      </c>
      <c r="F138" s="223"/>
      <c r="G138" s="259"/>
    </row>
    <row r="139" spans="1:7" x14ac:dyDescent="0.25">
      <c r="A139" s="415" t="s">
        <v>116</v>
      </c>
      <c r="B139" s="416" t="s">
        <v>117</v>
      </c>
      <c r="C139" s="417">
        <v>16250</v>
      </c>
      <c r="D139" s="418">
        <v>13939.41</v>
      </c>
      <c r="E139" s="330">
        <f t="shared" si="11"/>
        <v>85.780984615384611</v>
      </c>
      <c r="F139" s="223"/>
      <c r="G139" s="259"/>
    </row>
    <row r="140" spans="1:7" x14ac:dyDescent="0.25">
      <c r="A140" s="415">
        <v>3225</v>
      </c>
      <c r="B140" s="416" t="s">
        <v>119</v>
      </c>
      <c r="C140" s="417">
        <v>2500</v>
      </c>
      <c r="D140" s="418">
        <v>7598.99</v>
      </c>
      <c r="E140" s="330">
        <f t="shared" si="11"/>
        <v>303.95960000000002</v>
      </c>
      <c r="F140" s="223"/>
      <c r="G140" s="259"/>
    </row>
    <row r="141" spans="1:7" x14ac:dyDescent="0.25">
      <c r="A141" s="415">
        <v>3227</v>
      </c>
      <c r="B141" s="416" t="s">
        <v>577</v>
      </c>
      <c r="C141" s="417">
        <v>3125</v>
      </c>
      <c r="D141" s="418">
        <v>2244.67</v>
      </c>
      <c r="E141" s="330">
        <f t="shared" si="11"/>
        <v>71.829440000000005</v>
      </c>
      <c r="F141" s="223"/>
      <c r="G141" s="259"/>
    </row>
    <row r="142" spans="1:7" s="254" customFormat="1" ht="15.75" customHeight="1" x14ac:dyDescent="0.25">
      <c r="A142" s="410">
        <v>323</v>
      </c>
      <c r="B142" s="411" t="s">
        <v>123</v>
      </c>
      <c r="C142" s="424">
        <f>C143+C144+C145+C146+C147+C148+C149+C150+C151</f>
        <v>289585</v>
      </c>
      <c r="D142" s="425">
        <f>SUM(D143:D151)</f>
        <v>230237.12000000002</v>
      </c>
      <c r="E142" s="329">
        <f t="shared" si="11"/>
        <v>79.505886009289156</v>
      </c>
      <c r="F142" s="223"/>
      <c r="G142" s="253"/>
    </row>
    <row r="143" spans="1:7" x14ac:dyDescent="0.25">
      <c r="A143" s="415" t="s">
        <v>124</v>
      </c>
      <c r="B143" s="416" t="s">
        <v>125</v>
      </c>
      <c r="C143" s="417">
        <v>30114</v>
      </c>
      <c r="D143" s="418">
        <v>14232.18</v>
      </c>
      <c r="E143" s="330">
        <f t="shared" si="11"/>
        <v>47.261008168957964</v>
      </c>
      <c r="F143" s="223"/>
      <c r="G143" s="259"/>
    </row>
    <row r="144" spans="1:7" x14ac:dyDescent="0.25">
      <c r="A144" s="415" t="s">
        <v>126</v>
      </c>
      <c r="B144" s="416" t="s">
        <v>127</v>
      </c>
      <c r="C144" s="417">
        <v>39625</v>
      </c>
      <c r="D144" s="418">
        <v>59933.08</v>
      </c>
      <c r="E144" s="330">
        <f t="shared" si="11"/>
        <v>151.25067507886436</v>
      </c>
      <c r="F144" s="223"/>
      <c r="G144" s="259"/>
    </row>
    <row r="145" spans="1:7" x14ac:dyDescent="0.25">
      <c r="A145" s="415">
        <v>3233</v>
      </c>
      <c r="B145" s="416" t="s">
        <v>129</v>
      </c>
      <c r="C145" s="417">
        <v>22563</v>
      </c>
      <c r="D145" s="418">
        <v>11922.94</v>
      </c>
      <c r="E145" s="330">
        <f t="shared" si="11"/>
        <v>52.842884368213447</v>
      </c>
      <c r="F145" s="223"/>
      <c r="G145" s="259"/>
    </row>
    <row r="146" spans="1:7" x14ac:dyDescent="0.25">
      <c r="A146" s="415" t="s">
        <v>130</v>
      </c>
      <c r="B146" s="416" t="s">
        <v>131</v>
      </c>
      <c r="C146" s="417">
        <v>0</v>
      </c>
      <c r="D146" s="418">
        <v>3040.42</v>
      </c>
      <c r="E146" s="330">
        <v>0</v>
      </c>
      <c r="F146" s="223"/>
      <c r="G146" s="259"/>
    </row>
    <row r="147" spans="1:7" x14ac:dyDescent="0.25">
      <c r="A147" s="415">
        <v>3235</v>
      </c>
      <c r="B147" s="416" t="s">
        <v>133</v>
      </c>
      <c r="C147" s="417">
        <v>51658</v>
      </c>
      <c r="D147" s="418">
        <v>4587.34</v>
      </c>
      <c r="E147" s="330">
        <f t="shared" si="11"/>
        <v>8.8802121646211631</v>
      </c>
      <c r="F147" s="223"/>
      <c r="G147" s="259"/>
    </row>
    <row r="148" spans="1:7" x14ac:dyDescent="0.25">
      <c r="A148" s="415">
        <v>3236</v>
      </c>
      <c r="B148" s="416" t="s">
        <v>135</v>
      </c>
      <c r="C148" s="417">
        <v>2000</v>
      </c>
      <c r="D148" s="418">
        <v>601.87</v>
      </c>
      <c r="E148" s="330">
        <f t="shared" si="11"/>
        <v>30.093500000000002</v>
      </c>
      <c r="F148" s="223"/>
      <c r="G148" s="259"/>
    </row>
    <row r="149" spans="1:7" x14ac:dyDescent="0.25">
      <c r="A149" s="415">
        <v>3237</v>
      </c>
      <c r="B149" s="416" t="s">
        <v>137</v>
      </c>
      <c r="C149" s="417">
        <v>48750</v>
      </c>
      <c r="D149" s="418">
        <v>89037.71</v>
      </c>
      <c r="E149" s="330">
        <f t="shared" si="11"/>
        <v>182.64145641025641</v>
      </c>
      <c r="F149" s="223"/>
      <c r="G149" s="259"/>
    </row>
    <row r="150" spans="1:7" x14ac:dyDescent="0.25">
      <c r="A150" s="415" t="s">
        <v>138</v>
      </c>
      <c r="B150" s="416" t="s">
        <v>139</v>
      </c>
      <c r="C150" s="417">
        <v>31250</v>
      </c>
      <c r="D150" s="418">
        <v>20367.419999999998</v>
      </c>
      <c r="E150" s="330">
        <f t="shared" si="11"/>
        <v>65.175743999999995</v>
      </c>
      <c r="F150" s="223"/>
      <c r="G150" s="259"/>
    </row>
    <row r="151" spans="1:7" x14ac:dyDescent="0.25">
      <c r="A151" s="415" t="s">
        <v>140</v>
      </c>
      <c r="B151" s="416" t="s">
        <v>141</v>
      </c>
      <c r="C151" s="417">
        <v>63625</v>
      </c>
      <c r="D151" s="418">
        <v>26514.16</v>
      </c>
      <c r="E151" s="330">
        <f t="shared" si="11"/>
        <v>41.672550098231824</v>
      </c>
      <c r="F151" s="223"/>
      <c r="G151" s="259"/>
    </row>
    <row r="152" spans="1:7" x14ac:dyDescent="0.25">
      <c r="A152" s="420">
        <v>324</v>
      </c>
      <c r="B152" s="421" t="s">
        <v>143</v>
      </c>
      <c r="C152" s="422">
        <f>C153</f>
        <v>14380</v>
      </c>
      <c r="D152" s="423">
        <f>D153</f>
        <v>7535.62</v>
      </c>
      <c r="E152" s="329">
        <f t="shared" si="11"/>
        <v>52.403477051460357</v>
      </c>
      <c r="F152" s="223"/>
      <c r="G152" s="259"/>
    </row>
    <row r="153" spans="1:7" x14ac:dyDescent="0.25">
      <c r="A153" s="415">
        <v>3241</v>
      </c>
      <c r="B153" s="416" t="s">
        <v>143</v>
      </c>
      <c r="C153" s="417">
        <v>14380</v>
      </c>
      <c r="D153" s="418">
        <v>7535.62</v>
      </c>
      <c r="E153" s="330">
        <f t="shared" si="11"/>
        <v>52.403477051460357</v>
      </c>
      <c r="F153" s="223"/>
      <c r="G153" s="259"/>
    </row>
    <row r="154" spans="1:7" s="254" customFormat="1" ht="15.75" customHeight="1" x14ac:dyDescent="0.25">
      <c r="A154" s="410">
        <v>329</v>
      </c>
      <c r="B154" s="411" t="s">
        <v>146</v>
      </c>
      <c r="C154" s="424">
        <f>C155+C156+C157+C158+C160+C159</f>
        <v>73466</v>
      </c>
      <c r="D154" s="425">
        <f>SUM(D155:D160)</f>
        <v>62444.34</v>
      </c>
      <c r="E154" s="329">
        <f t="shared" si="11"/>
        <v>84.99760433397762</v>
      </c>
      <c r="F154" s="223"/>
      <c r="G154" s="253"/>
    </row>
    <row r="155" spans="1:7" x14ac:dyDescent="0.25">
      <c r="A155" s="415">
        <v>3292</v>
      </c>
      <c r="B155" s="416" t="s">
        <v>150</v>
      </c>
      <c r="C155" s="417">
        <v>15375</v>
      </c>
      <c r="D155" s="418">
        <v>6894.15</v>
      </c>
      <c r="E155" s="330">
        <f t="shared" si="11"/>
        <v>44.839999999999996</v>
      </c>
      <c r="F155" s="223"/>
      <c r="G155" s="259"/>
    </row>
    <row r="156" spans="1:7" x14ac:dyDescent="0.25">
      <c r="A156" s="415" t="s">
        <v>151</v>
      </c>
      <c r="B156" s="416" t="s">
        <v>152</v>
      </c>
      <c r="C156" s="417">
        <v>11591</v>
      </c>
      <c r="D156" s="418">
        <v>13556.91</v>
      </c>
      <c r="E156" s="330">
        <f t="shared" si="11"/>
        <v>116.96065913208524</v>
      </c>
      <c r="F156" s="223"/>
      <c r="G156" s="259"/>
    </row>
    <row r="157" spans="1:7" x14ac:dyDescent="0.25">
      <c r="A157" s="415">
        <v>3294</v>
      </c>
      <c r="B157" s="416" t="s">
        <v>154</v>
      </c>
      <c r="C157" s="417">
        <v>0</v>
      </c>
      <c r="D157" s="418">
        <v>7204.4</v>
      </c>
      <c r="E157" s="330">
        <v>0</v>
      </c>
      <c r="F157" s="223"/>
      <c r="G157" s="259"/>
    </row>
    <row r="158" spans="1:7" x14ac:dyDescent="0.25">
      <c r="A158" s="415">
        <v>3295</v>
      </c>
      <c r="B158" s="416" t="s">
        <v>156</v>
      </c>
      <c r="C158" s="417">
        <v>0</v>
      </c>
      <c r="D158" s="418">
        <v>2377.02</v>
      </c>
      <c r="E158" s="461">
        <v>0</v>
      </c>
      <c r="F158" s="223"/>
      <c r="G158" s="259"/>
    </row>
    <row r="159" spans="1:7" x14ac:dyDescent="0.25">
      <c r="A159" s="415">
        <v>3296</v>
      </c>
      <c r="B159" s="416" t="s">
        <v>158</v>
      </c>
      <c r="C159" s="417">
        <v>1500</v>
      </c>
      <c r="D159" s="418">
        <v>0</v>
      </c>
      <c r="E159" s="461">
        <v>0</v>
      </c>
      <c r="F159" s="223"/>
      <c r="G159" s="259"/>
    </row>
    <row r="160" spans="1:7" x14ac:dyDescent="0.25">
      <c r="A160" s="415" t="s">
        <v>159</v>
      </c>
      <c r="B160" s="416" t="s">
        <v>146</v>
      </c>
      <c r="C160" s="417">
        <v>45000</v>
      </c>
      <c r="D160" s="418">
        <v>32411.86</v>
      </c>
      <c r="E160" s="461">
        <f t="shared" si="11"/>
        <v>72.026355555555554</v>
      </c>
      <c r="F160" s="223"/>
      <c r="G160" s="259"/>
    </row>
    <row r="161" spans="1:9" s="224" customFormat="1" ht="15.75" customHeight="1" x14ac:dyDescent="0.25">
      <c r="A161" s="426">
        <v>34</v>
      </c>
      <c r="B161" s="427" t="s">
        <v>161</v>
      </c>
      <c r="C161" s="428">
        <f>C163</f>
        <v>3732</v>
      </c>
      <c r="D161" s="429">
        <f>D162</f>
        <v>2912.95</v>
      </c>
      <c r="E161" s="325">
        <f>(D161/C161)*100</f>
        <v>78.053322615219713</v>
      </c>
      <c r="F161" s="223"/>
      <c r="G161" s="223"/>
    </row>
    <row r="162" spans="1:9" s="254" customFormat="1" ht="15.75" customHeight="1" x14ac:dyDescent="0.25">
      <c r="A162" s="410">
        <v>343</v>
      </c>
      <c r="B162" s="411" t="s">
        <v>163</v>
      </c>
      <c r="C162" s="424">
        <f>C163+C164+C165</f>
        <v>3732</v>
      </c>
      <c r="D162" s="425">
        <f>SUM(D163)+D164+D165</f>
        <v>2912.95</v>
      </c>
      <c r="E162" s="450">
        <v>0</v>
      </c>
      <c r="F162" s="223"/>
      <c r="G162" s="253"/>
    </row>
    <row r="163" spans="1:9" x14ac:dyDescent="0.25">
      <c r="A163" s="415" t="s">
        <v>164</v>
      </c>
      <c r="B163" s="416" t="s">
        <v>165</v>
      </c>
      <c r="C163" s="417">
        <v>3732</v>
      </c>
      <c r="D163" s="418">
        <v>2752.33</v>
      </c>
      <c r="E163" s="461">
        <v>0</v>
      </c>
      <c r="F163" s="223"/>
      <c r="G163" s="259"/>
    </row>
    <row r="164" spans="1:9" ht="31.5" x14ac:dyDescent="0.25">
      <c r="A164" s="415">
        <v>3432</v>
      </c>
      <c r="B164" s="416" t="s">
        <v>569</v>
      </c>
      <c r="C164" s="417">
        <v>0</v>
      </c>
      <c r="D164" s="418">
        <v>160.62</v>
      </c>
      <c r="E164" s="461">
        <v>0</v>
      </c>
      <c r="F164" s="223"/>
      <c r="G164" s="259"/>
    </row>
    <row r="165" spans="1:9" x14ac:dyDescent="0.25">
      <c r="A165" s="415">
        <v>3433</v>
      </c>
      <c r="B165" s="416" t="s">
        <v>392</v>
      </c>
      <c r="C165" s="417">
        <v>0</v>
      </c>
      <c r="D165" s="418">
        <v>0</v>
      </c>
      <c r="E165" s="461">
        <v>0</v>
      </c>
      <c r="F165" s="223"/>
      <c r="G165" s="259"/>
    </row>
    <row r="166" spans="1:9" ht="31.5" x14ac:dyDescent="0.25">
      <c r="A166" s="312">
        <v>37</v>
      </c>
      <c r="B166" s="313" t="s">
        <v>204</v>
      </c>
      <c r="C166" s="314">
        <f>C167</f>
        <v>2700</v>
      </c>
      <c r="D166" s="447">
        <f>D167</f>
        <v>40</v>
      </c>
      <c r="E166" s="315">
        <v>0</v>
      </c>
      <c r="F166" s="223"/>
      <c r="G166" s="259"/>
    </row>
    <row r="167" spans="1:9" x14ac:dyDescent="0.25">
      <c r="A167" s="285">
        <v>372</v>
      </c>
      <c r="B167" s="281" t="s">
        <v>570</v>
      </c>
      <c r="C167" s="286">
        <f>C168</f>
        <v>2700</v>
      </c>
      <c r="D167" s="423">
        <f>D168</f>
        <v>40</v>
      </c>
      <c r="E167" s="291">
        <v>0</v>
      </c>
      <c r="F167" s="223"/>
      <c r="G167" s="259"/>
    </row>
    <row r="168" spans="1:9" x14ac:dyDescent="0.25">
      <c r="A168" s="288">
        <v>3721</v>
      </c>
      <c r="B168" s="289" t="s">
        <v>571</v>
      </c>
      <c r="C168" s="290">
        <v>2700</v>
      </c>
      <c r="D168" s="418">
        <v>40</v>
      </c>
      <c r="E168" s="291">
        <v>0</v>
      </c>
      <c r="F168" s="223"/>
      <c r="G168" s="259"/>
    </row>
    <row r="169" spans="1:9" x14ac:dyDescent="0.25">
      <c r="A169" s="234" t="s">
        <v>533</v>
      </c>
      <c r="B169" s="235" t="s">
        <v>582</v>
      </c>
      <c r="C169" s="236">
        <f>C170</f>
        <v>17958</v>
      </c>
      <c r="D169" s="339">
        <f>D170+D195</f>
        <v>140131.71999999997</v>
      </c>
      <c r="E169" s="236">
        <f>SUM(D169/C169*100)</f>
        <v>780.33032631696165</v>
      </c>
      <c r="F169" s="223"/>
      <c r="G169" s="259"/>
    </row>
    <row r="170" spans="1:9" s="254" customFormat="1" x14ac:dyDescent="0.25">
      <c r="A170" s="316">
        <v>52</v>
      </c>
      <c r="B170" s="317" t="s">
        <v>63</v>
      </c>
      <c r="C170" s="318">
        <f t="shared" ref="C170:D170" si="12">SUM(C171)</f>
        <v>17958</v>
      </c>
      <c r="D170" s="360">
        <f t="shared" si="12"/>
        <v>131365.15999999997</v>
      </c>
      <c r="E170" s="319">
        <f t="shared" ref="E170:E171" si="13">(D170/C170)*100</f>
        <v>731.51330883171829</v>
      </c>
      <c r="F170" s="253"/>
      <c r="G170" s="253"/>
      <c r="H170" s="253"/>
      <c r="I170" s="253"/>
    </row>
    <row r="171" spans="1:9" s="244" customFormat="1" x14ac:dyDescent="0.25">
      <c r="A171" s="241">
        <v>3</v>
      </c>
      <c r="B171" s="242" t="s">
        <v>82</v>
      </c>
      <c r="C171" s="243">
        <f>C172+C177</f>
        <v>17958</v>
      </c>
      <c r="D171" s="341">
        <f>D172+D177</f>
        <v>131365.15999999997</v>
      </c>
      <c r="E171" s="243">
        <f t="shared" si="13"/>
        <v>731.51330883171829</v>
      </c>
    </row>
    <row r="172" spans="1:9" s="244" customFormat="1" x14ac:dyDescent="0.25">
      <c r="A172" s="426">
        <v>31</v>
      </c>
      <c r="B172" s="427" t="s">
        <v>84</v>
      </c>
      <c r="C172" s="428">
        <f>C173</f>
        <v>0</v>
      </c>
      <c r="D172" s="429">
        <f>D173+D175</f>
        <v>20380.8</v>
      </c>
      <c r="E172" s="325">
        <v>0</v>
      </c>
    </row>
    <row r="173" spans="1:9" s="244" customFormat="1" x14ac:dyDescent="0.25">
      <c r="A173" s="297">
        <v>311</v>
      </c>
      <c r="B173" s="298" t="s">
        <v>568</v>
      </c>
      <c r="C173" s="299">
        <f>C174</f>
        <v>0</v>
      </c>
      <c r="D173" s="354">
        <f>D174</f>
        <v>17481.12</v>
      </c>
      <c r="E173" s="287">
        <v>0</v>
      </c>
    </row>
    <row r="174" spans="1:9" s="244" customFormat="1" x14ac:dyDescent="0.25">
      <c r="A174" s="288">
        <v>3111</v>
      </c>
      <c r="B174" s="289" t="s">
        <v>88</v>
      </c>
      <c r="C174" s="290">
        <v>0</v>
      </c>
      <c r="D174" s="355">
        <v>17481.12</v>
      </c>
      <c r="E174" s="291">
        <v>0</v>
      </c>
    </row>
    <row r="175" spans="1:9" ht="14.45" customHeight="1" x14ac:dyDescent="0.25">
      <c r="A175" s="285">
        <v>313</v>
      </c>
      <c r="B175" s="281" t="s">
        <v>95</v>
      </c>
      <c r="C175" s="286">
        <f>C176</f>
        <v>0</v>
      </c>
      <c r="D175" s="356">
        <f>D176</f>
        <v>2899.68</v>
      </c>
      <c r="E175" s="287">
        <v>0</v>
      </c>
      <c r="F175" s="259"/>
      <c r="G175" s="259"/>
    </row>
    <row r="176" spans="1:9" s="254" customFormat="1" ht="14.45" customHeight="1" x14ac:dyDescent="0.25">
      <c r="A176" s="300">
        <v>3132</v>
      </c>
      <c r="B176" s="301" t="s">
        <v>573</v>
      </c>
      <c r="C176" s="290">
        <v>0</v>
      </c>
      <c r="D176" s="355">
        <v>2899.68</v>
      </c>
      <c r="E176" s="291">
        <v>0</v>
      </c>
      <c r="F176" s="253"/>
      <c r="G176" s="253"/>
    </row>
    <row r="177" spans="1:7" ht="14.45" customHeight="1" x14ac:dyDescent="0.25">
      <c r="A177" s="426">
        <v>32</v>
      </c>
      <c r="B177" s="427" t="s">
        <v>99</v>
      </c>
      <c r="C177" s="428">
        <f>C178+C181+C191</f>
        <v>17958</v>
      </c>
      <c r="D177" s="429">
        <f>D178+D181+D191+D189</f>
        <v>110984.35999999999</v>
      </c>
      <c r="E177" s="325">
        <f>(D177/C177)*100</f>
        <v>618.02182871143771</v>
      </c>
      <c r="F177" s="259"/>
      <c r="G177" s="259"/>
    </row>
    <row r="178" spans="1:7" s="254" customFormat="1" ht="14.25" customHeight="1" x14ac:dyDescent="0.25">
      <c r="A178" s="410">
        <v>321</v>
      </c>
      <c r="B178" s="411" t="s">
        <v>101</v>
      </c>
      <c r="C178" s="424">
        <f>C179+C180</f>
        <v>11958</v>
      </c>
      <c r="D178" s="425">
        <f>D179+D180</f>
        <v>65959.92</v>
      </c>
      <c r="E178" s="329">
        <f t="shared" ref="E178:E181" si="14">(D178/C178)*100</f>
        <v>551.59658805820368</v>
      </c>
      <c r="F178" s="253"/>
      <c r="G178" s="253"/>
    </row>
    <row r="179" spans="1:7" s="320" customFormat="1" x14ac:dyDescent="0.25">
      <c r="A179" s="415" t="s">
        <v>102</v>
      </c>
      <c r="B179" s="416" t="s">
        <v>103</v>
      </c>
      <c r="C179" s="417">
        <f>500+6458+500+1500+1000</f>
        <v>9958</v>
      </c>
      <c r="D179" s="418">
        <v>1160.92</v>
      </c>
      <c r="E179" s="330">
        <f t="shared" si="14"/>
        <v>11.658164290018076</v>
      </c>
    </row>
    <row r="180" spans="1:7" s="320" customFormat="1" x14ac:dyDescent="0.25">
      <c r="A180" s="415">
        <v>3213</v>
      </c>
      <c r="B180" s="451" t="s">
        <v>107</v>
      </c>
      <c r="C180" s="452">
        <v>2000</v>
      </c>
      <c r="D180" s="418">
        <v>64799</v>
      </c>
      <c r="E180" s="330">
        <f t="shared" si="14"/>
        <v>3239.9500000000003</v>
      </c>
    </row>
    <row r="181" spans="1:7" s="320" customFormat="1" x14ac:dyDescent="0.25">
      <c r="A181" s="420">
        <v>323</v>
      </c>
      <c r="B181" s="453" t="s">
        <v>123</v>
      </c>
      <c r="C181" s="454">
        <f>C186</f>
        <v>5000</v>
      </c>
      <c r="D181" s="423">
        <f>D182+D184+D185+D186+D187+D188+D183</f>
        <v>42283.899999999994</v>
      </c>
      <c r="E181" s="329">
        <f t="shared" si="14"/>
        <v>845.67799999999988</v>
      </c>
    </row>
    <row r="182" spans="1:7" s="320" customFormat="1" x14ac:dyDescent="0.25">
      <c r="A182" s="415" t="s">
        <v>124</v>
      </c>
      <c r="B182" s="455" t="s">
        <v>125</v>
      </c>
      <c r="C182" s="456">
        <v>0</v>
      </c>
      <c r="D182" s="418">
        <v>0</v>
      </c>
      <c r="E182" s="330">
        <v>0</v>
      </c>
    </row>
    <row r="183" spans="1:7" s="320" customFormat="1" x14ac:dyDescent="0.25">
      <c r="A183" s="415" t="s">
        <v>126</v>
      </c>
      <c r="B183" s="455" t="s">
        <v>127</v>
      </c>
      <c r="C183" s="456">
        <v>0</v>
      </c>
      <c r="D183" s="418">
        <v>1597.6</v>
      </c>
      <c r="E183" s="330">
        <v>0</v>
      </c>
    </row>
    <row r="184" spans="1:7" s="320" customFormat="1" x14ac:dyDescent="0.25">
      <c r="A184" s="415" t="s">
        <v>128</v>
      </c>
      <c r="B184" s="473" t="s">
        <v>129</v>
      </c>
      <c r="C184" s="456">
        <v>0</v>
      </c>
      <c r="D184" s="418">
        <v>1826.84</v>
      </c>
      <c r="E184" s="330">
        <v>0</v>
      </c>
    </row>
    <row r="185" spans="1:7" s="320" customFormat="1" x14ac:dyDescent="0.25">
      <c r="A185" s="415" t="s">
        <v>132</v>
      </c>
      <c r="B185" s="455" t="s">
        <v>133</v>
      </c>
      <c r="C185" s="456">
        <v>0</v>
      </c>
      <c r="D185" s="418">
        <v>14457.77</v>
      </c>
      <c r="E185" s="330">
        <v>0</v>
      </c>
    </row>
    <row r="186" spans="1:7" s="320" customFormat="1" x14ac:dyDescent="0.25">
      <c r="A186" s="415" t="s">
        <v>136</v>
      </c>
      <c r="B186" s="455" t="s">
        <v>137</v>
      </c>
      <c r="C186" s="456">
        <v>5000</v>
      </c>
      <c r="D186" s="418">
        <v>22400.26</v>
      </c>
      <c r="E186" s="330">
        <v>0</v>
      </c>
    </row>
    <row r="187" spans="1:7" s="320" customFormat="1" x14ac:dyDescent="0.25">
      <c r="A187" s="415" t="s">
        <v>138</v>
      </c>
      <c r="B187" s="455" t="s">
        <v>139</v>
      </c>
      <c r="C187" s="457">
        <v>0</v>
      </c>
      <c r="D187" s="418">
        <v>6.86</v>
      </c>
      <c r="E187" s="330">
        <v>0</v>
      </c>
    </row>
    <row r="188" spans="1:7" s="320" customFormat="1" x14ac:dyDescent="0.25">
      <c r="A188" s="415" t="s">
        <v>140</v>
      </c>
      <c r="B188" s="455" t="s">
        <v>141</v>
      </c>
      <c r="C188" s="456">
        <v>0</v>
      </c>
      <c r="D188" s="418">
        <v>1994.57</v>
      </c>
      <c r="E188" s="330">
        <v>0</v>
      </c>
    </row>
    <row r="189" spans="1:7" s="320" customFormat="1" x14ac:dyDescent="0.25">
      <c r="A189" s="420">
        <v>324</v>
      </c>
      <c r="B189" s="421" t="s">
        <v>143</v>
      </c>
      <c r="C189" s="422">
        <f>C190</f>
        <v>0</v>
      </c>
      <c r="D189" s="423">
        <f>D190</f>
        <v>1440</v>
      </c>
      <c r="E189" s="329">
        <v>0</v>
      </c>
    </row>
    <row r="190" spans="1:7" s="320" customFormat="1" x14ac:dyDescent="0.25">
      <c r="A190" s="415">
        <v>3241</v>
      </c>
      <c r="B190" s="416" t="s">
        <v>143</v>
      </c>
      <c r="C190" s="417">
        <v>0</v>
      </c>
      <c r="D190" s="418">
        <v>1440</v>
      </c>
      <c r="E190" s="330">
        <v>0</v>
      </c>
    </row>
    <row r="191" spans="1:7" s="320" customFormat="1" x14ac:dyDescent="0.25">
      <c r="A191" s="420">
        <v>329</v>
      </c>
      <c r="B191" s="453" t="s">
        <v>146</v>
      </c>
      <c r="C191" s="454">
        <f>C192</f>
        <v>1000</v>
      </c>
      <c r="D191" s="423">
        <f>D192+D193+D194</f>
        <v>1300.54</v>
      </c>
      <c r="E191" s="330">
        <f t="shared" ref="E189:E191" si="15">(D191/C191)*100</f>
        <v>130.054</v>
      </c>
    </row>
    <row r="192" spans="1:7" s="320" customFormat="1" x14ac:dyDescent="0.25">
      <c r="A192" s="415" t="s">
        <v>151</v>
      </c>
      <c r="B192" s="458" t="s">
        <v>152</v>
      </c>
      <c r="C192" s="456">
        <v>1000</v>
      </c>
      <c r="D192" s="418">
        <v>0</v>
      </c>
      <c r="E192" s="330">
        <v>0</v>
      </c>
    </row>
    <row r="193" spans="1:5" s="320" customFormat="1" x14ac:dyDescent="0.25">
      <c r="A193" s="415" t="s">
        <v>153</v>
      </c>
      <c r="B193" s="458" t="s">
        <v>154</v>
      </c>
      <c r="C193" s="456">
        <v>0</v>
      </c>
      <c r="D193" s="418">
        <v>1300.54</v>
      </c>
      <c r="E193" s="330">
        <v>0</v>
      </c>
    </row>
    <row r="194" spans="1:5" s="320" customFormat="1" x14ac:dyDescent="0.25">
      <c r="A194" s="468" t="s">
        <v>159</v>
      </c>
      <c r="B194" s="469" t="s">
        <v>146</v>
      </c>
      <c r="C194" s="470">
        <v>0</v>
      </c>
      <c r="D194" s="471">
        <v>0</v>
      </c>
      <c r="E194" s="472">
        <v>0</v>
      </c>
    </row>
    <row r="195" spans="1:5" s="320" customFormat="1" x14ac:dyDescent="0.25">
      <c r="A195" s="464">
        <v>61</v>
      </c>
      <c r="B195" s="365" t="s">
        <v>486</v>
      </c>
      <c r="C195" s="465">
        <f>C197+C198</f>
        <v>0</v>
      </c>
      <c r="D195" s="466">
        <f>D196</f>
        <v>8766.56</v>
      </c>
      <c r="E195" s="467">
        <v>0</v>
      </c>
    </row>
    <row r="196" spans="1:5" s="320" customFormat="1" x14ac:dyDescent="0.25">
      <c r="A196" s="241">
        <v>3</v>
      </c>
      <c r="B196" s="242" t="s">
        <v>82</v>
      </c>
      <c r="C196" s="243">
        <f>C197+C202</f>
        <v>0</v>
      </c>
      <c r="D196" s="341">
        <f>D197+D198</f>
        <v>8766.56</v>
      </c>
      <c r="E196" s="243">
        <v>0</v>
      </c>
    </row>
    <row r="197" spans="1:5" s="320" customFormat="1" x14ac:dyDescent="0.25">
      <c r="A197" s="426">
        <v>31</v>
      </c>
      <c r="B197" s="427" t="s">
        <v>84</v>
      </c>
      <c r="C197" s="428">
        <v>0</v>
      </c>
      <c r="D197" s="429">
        <v>0</v>
      </c>
      <c r="E197" s="325">
        <v>0</v>
      </c>
    </row>
    <row r="198" spans="1:5" s="320" customFormat="1" x14ac:dyDescent="0.25">
      <c r="A198" s="426">
        <v>32</v>
      </c>
      <c r="B198" s="427" t="s">
        <v>99</v>
      </c>
      <c r="C198" s="428">
        <v>0</v>
      </c>
      <c r="D198" s="429">
        <f>D199+D204</f>
        <v>8766.56</v>
      </c>
      <c r="E198" s="325">
        <v>0</v>
      </c>
    </row>
    <row r="199" spans="1:5" s="320" customFormat="1" x14ac:dyDescent="0.25">
      <c r="A199" s="410">
        <v>323</v>
      </c>
      <c r="B199" s="411" t="s">
        <v>123</v>
      </c>
      <c r="C199" s="424">
        <f>C200+C201+C202+C203</f>
        <v>0</v>
      </c>
      <c r="D199" s="425">
        <f>SUM(D200:D203)</f>
        <v>8766.56</v>
      </c>
      <c r="E199" s="329">
        <v>0</v>
      </c>
    </row>
    <row r="200" spans="1:5" s="320" customFormat="1" x14ac:dyDescent="0.25">
      <c r="A200" s="415">
        <v>3233</v>
      </c>
      <c r="B200" s="416" t="s">
        <v>129</v>
      </c>
      <c r="C200" s="417">
        <v>0</v>
      </c>
      <c r="D200" s="418">
        <v>8766.56</v>
      </c>
      <c r="E200" s="330">
        <v>0</v>
      </c>
    </row>
    <row r="201" spans="1:5" s="320" customFormat="1" x14ac:dyDescent="0.25">
      <c r="A201" s="415">
        <v>3235</v>
      </c>
      <c r="B201" s="416" t="s">
        <v>133</v>
      </c>
      <c r="C201" s="417">
        <v>0</v>
      </c>
      <c r="D201" s="418">
        <v>0</v>
      </c>
      <c r="E201" s="330">
        <v>0</v>
      </c>
    </row>
    <row r="202" spans="1:5" s="320" customFormat="1" x14ac:dyDescent="0.25">
      <c r="A202" s="415">
        <v>3237</v>
      </c>
      <c r="B202" s="416" t="s">
        <v>137</v>
      </c>
      <c r="C202" s="417">
        <v>0</v>
      </c>
      <c r="D202" s="418">
        <v>0</v>
      </c>
      <c r="E202" s="330">
        <v>0</v>
      </c>
    </row>
    <row r="203" spans="1:5" s="320" customFormat="1" x14ac:dyDescent="0.25">
      <c r="A203" s="415" t="s">
        <v>140</v>
      </c>
      <c r="B203" s="416" t="s">
        <v>141</v>
      </c>
      <c r="C203" s="417">
        <v>0</v>
      </c>
      <c r="D203" s="418">
        <v>0</v>
      </c>
      <c r="E203" s="330">
        <v>0</v>
      </c>
    </row>
    <row r="204" spans="1:5" s="320" customFormat="1" x14ac:dyDescent="0.25">
      <c r="A204" s="410">
        <v>329</v>
      </c>
      <c r="B204" s="411" t="s">
        <v>146</v>
      </c>
      <c r="C204" s="424">
        <f>C205+C206</f>
        <v>0</v>
      </c>
      <c r="D204" s="425">
        <f>SUM(D205:D206)</f>
        <v>0</v>
      </c>
      <c r="E204" s="329">
        <v>0</v>
      </c>
    </row>
    <row r="205" spans="1:5" s="320" customFormat="1" x14ac:dyDescent="0.25">
      <c r="A205" s="415" t="s">
        <v>151</v>
      </c>
      <c r="B205" s="416" t="s">
        <v>152</v>
      </c>
      <c r="C205" s="417">
        <v>0</v>
      </c>
      <c r="D205" s="418">
        <v>0</v>
      </c>
      <c r="E205" s="330">
        <v>0</v>
      </c>
    </row>
    <row r="206" spans="1:5" s="320" customFormat="1" x14ac:dyDescent="0.25">
      <c r="A206" s="431" t="s">
        <v>159</v>
      </c>
      <c r="B206" s="432" t="s">
        <v>146</v>
      </c>
      <c r="C206" s="433">
        <v>0</v>
      </c>
      <c r="D206" s="434">
        <v>0</v>
      </c>
      <c r="E206" s="449">
        <v>0</v>
      </c>
    </row>
    <row r="207" spans="1:5" s="321" customFormat="1" x14ac:dyDescent="0.25">
      <c r="A207" s="234" t="s">
        <v>532</v>
      </c>
      <c r="B207" s="235" t="s">
        <v>583</v>
      </c>
      <c r="C207" s="236">
        <f>C208</f>
        <v>0</v>
      </c>
      <c r="D207" s="339">
        <f>D208</f>
        <v>41672.18</v>
      </c>
      <c r="E207" s="236">
        <v>0</v>
      </c>
    </row>
    <row r="208" spans="1:5" s="321" customFormat="1" x14ac:dyDescent="0.25">
      <c r="A208" s="237">
        <v>11</v>
      </c>
      <c r="B208" s="237" t="s">
        <v>55</v>
      </c>
      <c r="C208" s="238">
        <f t="shared" ref="C208:D208" si="16">SUM(C209)</f>
        <v>0</v>
      </c>
      <c r="D208" s="340">
        <f t="shared" si="16"/>
        <v>41672.18</v>
      </c>
      <c r="E208" s="322">
        <v>0</v>
      </c>
    </row>
    <row r="209" spans="1:7" s="321" customFormat="1" x14ac:dyDescent="0.25">
      <c r="A209" s="241">
        <v>4</v>
      </c>
      <c r="B209" s="242" t="s">
        <v>227</v>
      </c>
      <c r="C209" s="243">
        <f>SUM(C213)</f>
        <v>0</v>
      </c>
      <c r="D209" s="341">
        <f>D210+D213</f>
        <v>41672.18</v>
      </c>
      <c r="E209" s="243">
        <v>0</v>
      </c>
    </row>
    <row r="210" spans="1:7" s="321" customFormat="1" x14ac:dyDescent="0.25">
      <c r="A210" s="326">
        <v>41</v>
      </c>
      <c r="B210" s="327" t="s">
        <v>228</v>
      </c>
      <c r="C210" s="295">
        <f>C211</f>
        <v>0</v>
      </c>
      <c r="D210" s="353">
        <f>D211</f>
        <v>15216.36</v>
      </c>
      <c r="E210" s="370">
        <v>0</v>
      </c>
    </row>
    <row r="211" spans="1:7" s="321" customFormat="1" x14ac:dyDescent="0.25">
      <c r="A211" s="285">
        <v>412</v>
      </c>
      <c r="B211" s="281" t="s">
        <v>230</v>
      </c>
      <c r="C211" s="299">
        <f>C212</f>
        <v>0</v>
      </c>
      <c r="D211" s="354">
        <f>D212</f>
        <v>15216.36</v>
      </c>
      <c r="E211" s="370">
        <v>0</v>
      </c>
    </row>
    <row r="212" spans="1:7" s="321" customFormat="1" x14ac:dyDescent="0.25">
      <c r="A212" s="288">
        <v>4124</v>
      </c>
      <c r="B212" s="289" t="s">
        <v>348</v>
      </c>
      <c r="C212" s="290">
        <v>0</v>
      </c>
      <c r="D212" s="355">
        <v>15216.36</v>
      </c>
      <c r="E212" s="370">
        <v>0</v>
      </c>
    </row>
    <row r="213" spans="1:7" s="324" customFormat="1" x14ac:dyDescent="0.25">
      <c r="A213" s="366">
        <v>42</v>
      </c>
      <c r="B213" s="367" t="s">
        <v>234</v>
      </c>
      <c r="C213" s="368">
        <f>C214</f>
        <v>0</v>
      </c>
      <c r="D213" s="369">
        <f>D214+D218</f>
        <v>26455.82</v>
      </c>
      <c r="E213" s="370">
        <v>0</v>
      </c>
      <c r="F213" s="321"/>
      <c r="G213" s="321"/>
    </row>
    <row r="214" spans="1:7" s="254" customFormat="1" x14ac:dyDescent="0.25">
      <c r="A214" s="297">
        <v>422</v>
      </c>
      <c r="B214" s="298" t="s">
        <v>240</v>
      </c>
      <c r="C214" s="299">
        <f>C215</f>
        <v>0</v>
      </c>
      <c r="D214" s="354">
        <f>SUM(D215)+D217+D216</f>
        <v>24659.11</v>
      </c>
      <c r="E214" s="325">
        <v>0</v>
      </c>
      <c r="F214" s="321"/>
      <c r="G214" s="321"/>
    </row>
    <row r="215" spans="1:7" x14ac:dyDescent="0.25">
      <c r="A215" s="288">
        <v>4221</v>
      </c>
      <c r="B215" s="289" t="s">
        <v>587</v>
      </c>
      <c r="C215" s="290">
        <v>0</v>
      </c>
      <c r="D215" s="355">
        <f>14591.62+2098.38</f>
        <v>16690</v>
      </c>
      <c r="E215" s="325">
        <v>0</v>
      </c>
      <c r="F215" s="321"/>
      <c r="G215" s="321"/>
    </row>
    <row r="216" spans="1:7" x14ac:dyDescent="0.25">
      <c r="A216" s="371">
        <v>4222</v>
      </c>
      <c r="B216" s="372" t="s">
        <v>437</v>
      </c>
      <c r="C216" s="373">
        <v>0</v>
      </c>
      <c r="D216" s="374">
        <f>4120.63+537.23</f>
        <v>4657.8600000000006</v>
      </c>
      <c r="E216" s="325">
        <v>0</v>
      </c>
      <c r="F216" s="321"/>
      <c r="G216" s="321"/>
    </row>
    <row r="217" spans="1:7" x14ac:dyDescent="0.25">
      <c r="A217" s="371">
        <v>4227</v>
      </c>
      <c r="B217" s="372" t="s">
        <v>362</v>
      </c>
      <c r="C217" s="373">
        <v>0</v>
      </c>
      <c r="D217" s="374">
        <f>3311.25</f>
        <v>3311.25</v>
      </c>
      <c r="E217" s="325">
        <v>0</v>
      </c>
      <c r="F217" s="321"/>
      <c r="G217" s="321"/>
    </row>
    <row r="218" spans="1:7" x14ac:dyDescent="0.25">
      <c r="A218" s="297">
        <v>426</v>
      </c>
      <c r="B218" s="298" t="s">
        <v>246</v>
      </c>
      <c r="C218" s="299">
        <v>0</v>
      </c>
      <c r="D218" s="354">
        <f>D219</f>
        <v>1796.71</v>
      </c>
      <c r="E218" s="375">
        <v>0</v>
      </c>
      <c r="F218" s="321"/>
      <c r="G218" s="321"/>
    </row>
    <row r="219" spans="1:7" x14ac:dyDescent="0.25">
      <c r="A219" s="371">
        <v>4262</v>
      </c>
      <c r="B219" s="372" t="s">
        <v>248</v>
      </c>
      <c r="C219" s="373">
        <v>0</v>
      </c>
      <c r="D219" s="374">
        <v>1796.71</v>
      </c>
      <c r="E219" s="375">
        <v>0</v>
      </c>
      <c r="F219" s="321"/>
      <c r="G219" s="321"/>
    </row>
    <row r="220" spans="1:7" x14ac:dyDescent="0.25">
      <c r="A220" s="234" t="s">
        <v>534</v>
      </c>
      <c r="B220" s="235" t="s">
        <v>581</v>
      </c>
      <c r="C220" s="236">
        <f>C221+C240</f>
        <v>135845</v>
      </c>
      <c r="D220" s="339">
        <f>D221+D240</f>
        <v>24429.030000000002</v>
      </c>
      <c r="E220" s="236">
        <f>SUM(D220/C220*100)</f>
        <v>17.983017409547646</v>
      </c>
      <c r="F220" s="321"/>
      <c r="G220" s="321"/>
    </row>
    <row r="221" spans="1:7" x14ac:dyDescent="0.25">
      <c r="A221" s="237">
        <v>31</v>
      </c>
      <c r="B221" s="237" t="s">
        <v>485</v>
      </c>
      <c r="C221" s="310">
        <f t="shared" ref="C221:D221" si="17">SUM(C222)</f>
        <v>109670</v>
      </c>
      <c r="D221" s="359">
        <f t="shared" si="17"/>
        <v>0</v>
      </c>
      <c r="E221" s="437">
        <f t="shared" ref="E221:E229" si="18">(D221/C221)*100</f>
        <v>0</v>
      </c>
      <c r="F221" s="321"/>
      <c r="G221" s="321"/>
    </row>
    <row r="222" spans="1:7" x14ac:dyDescent="0.25">
      <c r="A222" s="241">
        <v>4</v>
      </c>
      <c r="B222" s="242" t="s">
        <v>227</v>
      </c>
      <c r="C222" s="243">
        <f>C223+C226+C237</f>
        <v>109670</v>
      </c>
      <c r="D222" s="341">
        <f>D223+D226</f>
        <v>0</v>
      </c>
      <c r="E222" s="243">
        <f t="shared" si="18"/>
        <v>0</v>
      </c>
      <c r="F222" s="321"/>
      <c r="G222" s="321"/>
    </row>
    <row r="223" spans="1:7" x14ac:dyDescent="0.25">
      <c r="A223" s="326">
        <v>41</v>
      </c>
      <c r="B223" s="327" t="s">
        <v>228</v>
      </c>
      <c r="C223" s="328">
        <f>C224</f>
        <v>20000</v>
      </c>
      <c r="D223" s="362">
        <f>D224</f>
        <v>0</v>
      </c>
      <c r="E223" s="323">
        <f t="shared" si="18"/>
        <v>0</v>
      </c>
      <c r="F223" s="321"/>
      <c r="G223" s="321"/>
    </row>
    <row r="224" spans="1:7" x14ac:dyDescent="0.25">
      <c r="A224" s="285">
        <v>412</v>
      </c>
      <c r="B224" s="281" t="s">
        <v>230</v>
      </c>
      <c r="C224" s="286">
        <f>C225</f>
        <v>20000</v>
      </c>
      <c r="D224" s="356">
        <f>D225</f>
        <v>0</v>
      </c>
      <c r="E224" s="329">
        <f t="shared" si="18"/>
        <v>0</v>
      </c>
      <c r="F224" s="321"/>
      <c r="G224" s="321"/>
    </row>
    <row r="225" spans="1:7" x14ac:dyDescent="0.25">
      <c r="A225" s="288">
        <v>4124</v>
      </c>
      <c r="B225" s="289" t="s">
        <v>348</v>
      </c>
      <c r="C225" s="290">
        <v>20000</v>
      </c>
      <c r="D225" s="355">
        <v>0</v>
      </c>
      <c r="E225" s="330">
        <f t="shared" si="18"/>
        <v>0</v>
      </c>
      <c r="F225" s="321"/>
      <c r="G225" s="321"/>
    </row>
    <row r="226" spans="1:7" x14ac:dyDescent="0.25">
      <c r="A226" s="302">
        <v>42</v>
      </c>
      <c r="B226" s="303" t="s">
        <v>234</v>
      </c>
      <c r="C226" s="304">
        <f>C227+C233+C235</f>
        <v>83670</v>
      </c>
      <c r="D226" s="357">
        <f>D227+D233+D235</f>
        <v>0</v>
      </c>
      <c r="E226" s="325">
        <f t="shared" si="18"/>
        <v>0</v>
      </c>
      <c r="F226" s="321"/>
      <c r="G226" s="321"/>
    </row>
    <row r="227" spans="1:7" x14ac:dyDescent="0.25">
      <c r="A227" s="297">
        <v>422</v>
      </c>
      <c r="B227" s="298" t="s">
        <v>240</v>
      </c>
      <c r="C227" s="299">
        <f>C228+C229+C230+C231+C232</f>
        <v>77670</v>
      </c>
      <c r="D227" s="354">
        <f>SUM(D228)+D229+D230+D231+D232</f>
        <v>0</v>
      </c>
      <c r="E227" s="329">
        <f t="shared" si="18"/>
        <v>0</v>
      </c>
      <c r="F227" s="321"/>
      <c r="G227" s="321"/>
    </row>
    <row r="228" spans="1:7" x14ac:dyDescent="0.25">
      <c r="A228" s="288">
        <v>4221</v>
      </c>
      <c r="B228" s="289" t="s">
        <v>242</v>
      </c>
      <c r="C228" s="290">
        <v>30000</v>
      </c>
      <c r="D228" s="355">
        <v>0</v>
      </c>
      <c r="E228" s="330">
        <f t="shared" si="18"/>
        <v>0</v>
      </c>
      <c r="F228" s="321"/>
      <c r="G228" s="321"/>
    </row>
    <row r="229" spans="1:7" x14ac:dyDescent="0.25">
      <c r="A229" s="288">
        <v>4222</v>
      </c>
      <c r="B229" s="289" t="s">
        <v>437</v>
      </c>
      <c r="C229" s="290">
        <v>5620</v>
      </c>
      <c r="D229" s="355">
        <v>0</v>
      </c>
      <c r="E229" s="330">
        <f t="shared" si="18"/>
        <v>0</v>
      </c>
      <c r="F229" s="321"/>
      <c r="G229" s="321"/>
    </row>
    <row r="230" spans="1:7" x14ac:dyDescent="0.25">
      <c r="A230" s="288">
        <v>4223</v>
      </c>
      <c r="B230" s="289" t="s">
        <v>439</v>
      </c>
      <c r="C230" s="290">
        <v>0</v>
      </c>
      <c r="D230" s="355">
        <v>0</v>
      </c>
      <c r="E230" s="330">
        <v>0</v>
      </c>
      <c r="F230" s="321"/>
      <c r="G230" s="321"/>
    </row>
    <row r="231" spans="1:7" x14ac:dyDescent="0.25">
      <c r="A231" s="288">
        <v>4225</v>
      </c>
      <c r="B231" s="289" t="s">
        <v>441</v>
      </c>
      <c r="C231" s="290">
        <v>3300</v>
      </c>
      <c r="D231" s="355">
        <v>0</v>
      </c>
      <c r="E231" s="330">
        <f t="shared" ref="E231:E239" si="19">(D231/C231)*100</f>
        <v>0</v>
      </c>
      <c r="F231" s="321"/>
      <c r="G231" s="321"/>
    </row>
    <row r="232" spans="1:7" x14ac:dyDescent="0.25">
      <c r="A232" s="288">
        <v>4227</v>
      </c>
      <c r="B232" s="289" t="s">
        <v>362</v>
      </c>
      <c r="C232" s="290">
        <v>38750</v>
      </c>
      <c r="D232" s="355">
        <v>0</v>
      </c>
      <c r="E232" s="330">
        <f t="shared" si="19"/>
        <v>0</v>
      </c>
      <c r="F232" s="321"/>
      <c r="G232" s="321"/>
    </row>
    <row r="233" spans="1:7" x14ac:dyDescent="0.25">
      <c r="A233" s="285">
        <v>424</v>
      </c>
      <c r="B233" s="281" t="s">
        <v>578</v>
      </c>
      <c r="C233" s="286">
        <f>C234</f>
        <v>0</v>
      </c>
      <c r="D233" s="356">
        <f>D234</f>
        <v>0</v>
      </c>
      <c r="E233" s="329">
        <v>0</v>
      </c>
      <c r="F233" s="321"/>
      <c r="G233" s="321"/>
    </row>
    <row r="234" spans="1:7" x14ac:dyDescent="0.25">
      <c r="A234" s="288">
        <v>4241</v>
      </c>
      <c r="B234" s="289" t="s">
        <v>451</v>
      </c>
      <c r="C234" s="290">
        <v>0</v>
      </c>
      <c r="D234" s="355">
        <v>0</v>
      </c>
      <c r="E234" s="330">
        <v>0</v>
      </c>
      <c r="F234" s="321"/>
      <c r="G234" s="321"/>
    </row>
    <row r="235" spans="1:7" x14ac:dyDescent="0.25">
      <c r="A235" s="285">
        <v>426</v>
      </c>
      <c r="B235" s="281" t="s">
        <v>246</v>
      </c>
      <c r="C235" s="286">
        <f>C236</f>
        <v>6000</v>
      </c>
      <c r="D235" s="356">
        <f>D236</f>
        <v>0</v>
      </c>
      <c r="E235" s="329">
        <f t="shared" si="19"/>
        <v>0</v>
      </c>
      <c r="F235" s="321"/>
      <c r="G235" s="321"/>
    </row>
    <row r="236" spans="1:7" x14ac:dyDescent="0.25">
      <c r="A236" s="288">
        <v>4262</v>
      </c>
      <c r="B236" s="289" t="s">
        <v>248</v>
      </c>
      <c r="C236" s="290">
        <v>6000</v>
      </c>
      <c r="D236" s="355">
        <v>0</v>
      </c>
      <c r="E236" s="330">
        <f t="shared" si="19"/>
        <v>0</v>
      </c>
      <c r="F236" s="321"/>
      <c r="G236" s="321"/>
    </row>
    <row r="237" spans="1:7" x14ac:dyDescent="0.25">
      <c r="A237" s="282">
        <v>45</v>
      </c>
      <c r="B237" s="279" t="s">
        <v>250</v>
      </c>
      <c r="C237" s="283">
        <f>C238</f>
        <v>6000</v>
      </c>
      <c r="D237" s="363">
        <f>D238</f>
        <v>0</v>
      </c>
      <c r="E237" s="330">
        <f t="shared" si="19"/>
        <v>0</v>
      </c>
      <c r="F237" s="321"/>
      <c r="G237" s="321"/>
    </row>
    <row r="238" spans="1:7" x14ac:dyDescent="0.25">
      <c r="A238" s="285">
        <v>453</v>
      </c>
      <c r="B238" s="281" t="s">
        <v>480</v>
      </c>
      <c r="C238" s="286">
        <f>C239</f>
        <v>6000</v>
      </c>
      <c r="D238" s="356">
        <f>D239</f>
        <v>0</v>
      </c>
      <c r="E238" s="330">
        <f t="shared" si="19"/>
        <v>0</v>
      </c>
      <c r="F238" s="321"/>
      <c r="G238" s="321"/>
    </row>
    <row r="239" spans="1:7" x14ac:dyDescent="0.25">
      <c r="A239" s="306">
        <v>4531</v>
      </c>
      <c r="B239" s="307" t="s">
        <v>579</v>
      </c>
      <c r="C239" s="308">
        <v>6000</v>
      </c>
      <c r="D239" s="361">
        <v>0</v>
      </c>
      <c r="E239" s="331">
        <f t="shared" si="19"/>
        <v>0</v>
      </c>
      <c r="F239" s="321"/>
      <c r="G239" s="321"/>
    </row>
    <row r="240" spans="1:7" x14ac:dyDescent="0.25">
      <c r="A240" s="237">
        <v>43</v>
      </c>
      <c r="B240" s="237" t="s">
        <v>58</v>
      </c>
      <c r="C240" s="310">
        <f t="shared" ref="C240:D240" si="20">SUM(C241)</f>
        <v>26175</v>
      </c>
      <c r="D240" s="359">
        <f t="shared" si="20"/>
        <v>24429.030000000002</v>
      </c>
      <c r="E240" s="437">
        <f t="shared" ref="E240:E249" si="21">(D240/C240)*100</f>
        <v>93.329627507163337</v>
      </c>
      <c r="F240" s="321"/>
      <c r="G240" s="321"/>
    </row>
    <row r="241" spans="1:7" x14ac:dyDescent="0.25">
      <c r="A241" s="241">
        <v>4</v>
      </c>
      <c r="B241" s="242" t="s">
        <v>227</v>
      </c>
      <c r="C241" s="243">
        <f>C242+C245+C258</f>
        <v>26175</v>
      </c>
      <c r="D241" s="341">
        <f>D242+D245+D258</f>
        <v>24429.030000000002</v>
      </c>
      <c r="E241" s="243">
        <f t="shared" si="21"/>
        <v>93.329627507163337</v>
      </c>
      <c r="F241" s="321"/>
      <c r="G241" s="321"/>
    </row>
    <row r="242" spans="1:7" ht="16.5" customHeight="1" x14ac:dyDescent="0.25">
      <c r="A242" s="326">
        <v>41</v>
      </c>
      <c r="B242" s="327" t="s">
        <v>228</v>
      </c>
      <c r="C242" s="328">
        <f>C243</f>
        <v>8750</v>
      </c>
      <c r="D242" s="362">
        <f>D243</f>
        <v>6952.5</v>
      </c>
      <c r="E242" s="323">
        <f t="shared" si="21"/>
        <v>79.457142857142856</v>
      </c>
      <c r="F242" s="321"/>
      <c r="G242" s="321"/>
    </row>
    <row r="243" spans="1:7" x14ac:dyDescent="0.25">
      <c r="A243" s="285">
        <v>412</v>
      </c>
      <c r="B243" s="281" t="s">
        <v>230</v>
      </c>
      <c r="C243" s="286">
        <f>C244</f>
        <v>8750</v>
      </c>
      <c r="D243" s="356">
        <f>D244</f>
        <v>6952.5</v>
      </c>
      <c r="E243" s="329">
        <f t="shared" si="21"/>
        <v>79.457142857142856</v>
      </c>
      <c r="F243" s="321"/>
      <c r="G243" s="321"/>
    </row>
    <row r="244" spans="1:7" x14ac:dyDescent="0.25">
      <c r="A244" s="288">
        <v>4124</v>
      </c>
      <c r="B244" s="289" t="s">
        <v>348</v>
      </c>
      <c r="C244" s="290">
        <v>8750</v>
      </c>
      <c r="D244" s="355">
        <v>6952.5</v>
      </c>
      <c r="E244" s="330">
        <f t="shared" si="21"/>
        <v>79.457142857142856</v>
      </c>
      <c r="F244" s="321"/>
      <c r="G244" s="321"/>
    </row>
    <row r="245" spans="1:7" x14ac:dyDescent="0.25">
      <c r="A245" s="302">
        <v>42</v>
      </c>
      <c r="B245" s="303" t="s">
        <v>234</v>
      </c>
      <c r="C245" s="304">
        <f>C248+C254+C256</f>
        <v>17175</v>
      </c>
      <c r="D245" s="357">
        <f>D246+D248+D254+D256</f>
        <v>17476.530000000002</v>
      </c>
      <c r="E245" s="325">
        <f t="shared" si="21"/>
        <v>101.75563318777294</v>
      </c>
      <c r="F245" s="321"/>
      <c r="G245" s="321"/>
    </row>
    <row r="246" spans="1:7" x14ac:dyDescent="0.25">
      <c r="A246" s="302">
        <v>421</v>
      </c>
      <c r="B246" s="303" t="s">
        <v>236</v>
      </c>
      <c r="C246" s="304">
        <f>0</f>
        <v>0</v>
      </c>
      <c r="D246" s="357">
        <f>D247</f>
        <v>6497.5</v>
      </c>
      <c r="E246" s="325">
        <v>0</v>
      </c>
      <c r="F246" s="321"/>
      <c r="G246" s="321"/>
    </row>
    <row r="247" spans="1:7" x14ac:dyDescent="0.25">
      <c r="A247" s="288">
        <v>4212</v>
      </c>
      <c r="B247" s="289" t="s">
        <v>238</v>
      </c>
      <c r="C247" s="290">
        <v>0</v>
      </c>
      <c r="D247" s="355">
        <v>6497.5</v>
      </c>
      <c r="E247" s="325">
        <v>0</v>
      </c>
      <c r="F247" s="321"/>
      <c r="G247" s="321"/>
    </row>
    <row r="248" spans="1:7" x14ac:dyDescent="0.25">
      <c r="A248" s="297">
        <v>422</v>
      </c>
      <c r="B248" s="298" t="s">
        <v>240</v>
      </c>
      <c r="C248" s="299">
        <f>C249+C250+C252+C253+C251</f>
        <v>10675</v>
      </c>
      <c r="D248" s="354">
        <f>SUM(D249)+D250+D251+D252+D253</f>
        <v>10397.120000000001</v>
      </c>
      <c r="E248" s="329">
        <f t="shared" si="21"/>
        <v>97.3969086651054</v>
      </c>
      <c r="F248" s="321"/>
      <c r="G248" s="321"/>
    </row>
    <row r="249" spans="1:7" x14ac:dyDescent="0.25">
      <c r="A249" s="288">
        <v>4221</v>
      </c>
      <c r="B249" s="289" t="s">
        <v>242</v>
      </c>
      <c r="C249" s="290">
        <v>7375</v>
      </c>
      <c r="D249" s="355">
        <v>6608.93</v>
      </c>
      <c r="E249" s="330">
        <f t="shared" si="21"/>
        <v>89.612610169491518</v>
      </c>
      <c r="F249" s="321"/>
      <c r="G249" s="321"/>
    </row>
    <row r="250" spans="1:7" x14ac:dyDescent="0.25">
      <c r="A250" s="288">
        <v>4222</v>
      </c>
      <c r="B250" s="289" t="s">
        <v>437</v>
      </c>
      <c r="C250" s="290">
        <v>0</v>
      </c>
      <c r="D250" s="355">
        <v>763.75</v>
      </c>
      <c r="E250" s="330">
        <v>0</v>
      </c>
      <c r="F250" s="321"/>
      <c r="G250" s="321"/>
    </row>
    <row r="251" spans="1:7" x14ac:dyDescent="0.25">
      <c r="A251" s="288">
        <v>4223</v>
      </c>
      <c r="B251" s="289" t="s">
        <v>439</v>
      </c>
      <c r="C251" s="290">
        <v>3300</v>
      </c>
      <c r="D251" s="355">
        <v>2769.59</v>
      </c>
      <c r="E251" s="330">
        <v>0</v>
      </c>
      <c r="F251" s="321"/>
      <c r="G251" s="321"/>
    </row>
    <row r="252" spans="1:7" x14ac:dyDescent="0.25">
      <c r="A252" s="288">
        <v>4225</v>
      </c>
      <c r="B252" s="289" t="s">
        <v>441</v>
      </c>
      <c r="C252" s="290">
        <v>0</v>
      </c>
      <c r="D252" s="355">
        <v>0</v>
      </c>
      <c r="E252" s="330">
        <v>0</v>
      </c>
      <c r="F252" s="321"/>
      <c r="G252" s="321"/>
    </row>
    <row r="253" spans="1:7" x14ac:dyDescent="0.25">
      <c r="A253" s="288">
        <v>4227</v>
      </c>
      <c r="B253" s="289" t="s">
        <v>362</v>
      </c>
      <c r="C253" s="290">
        <v>0</v>
      </c>
      <c r="D253" s="355">
        <v>254.85</v>
      </c>
      <c r="E253" s="330">
        <v>0</v>
      </c>
      <c r="F253" s="321"/>
      <c r="G253" s="321"/>
    </row>
    <row r="254" spans="1:7" x14ac:dyDescent="0.25">
      <c r="A254" s="285">
        <v>424</v>
      </c>
      <c r="B254" s="281" t="s">
        <v>578</v>
      </c>
      <c r="C254" s="286">
        <f>C255</f>
        <v>6250</v>
      </c>
      <c r="D254" s="356">
        <f>D255</f>
        <v>581.91</v>
      </c>
      <c r="E254" s="329">
        <f t="shared" ref="E207:E260" si="22">(D254/C254)*100</f>
        <v>9.3105599999999988</v>
      </c>
      <c r="F254" s="321"/>
      <c r="G254" s="321"/>
    </row>
    <row r="255" spans="1:7" x14ac:dyDescent="0.25">
      <c r="A255" s="288">
        <v>4241</v>
      </c>
      <c r="B255" s="289" t="s">
        <v>451</v>
      </c>
      <c r="C255" s="290">
        <v>6250</v>
      </c>
      <c r="D255" s="355">
        <v>581.91</v>
      </c>
      <c r="E255" s="330">
        <f t="shared" si="22"/>
        <v>9.3105599999999988</v>
      </c>
      <c r="F255" s="321"/>
      <c r="G255" s="321"/>
    </row>
    <row r="256" spans="1:7" x14ac:dyDescent="0.25">
      <c r="A256" s="285">
        <v>426</v>
      </c>
      <c r="B256" s="281" t="s">
        <v>246</v>
      </c>
      <c r="C256" s="286">
        <f>C257</f>
        <v>250</v>
      </c>
      <c r="D256" s="356">
        <f>D257</f>
        <v>0</v>
      </c>
      <c r="E256" s="329">
        <f t="shared" si="22"/>
        <v>0</v>
      </c>
      <c r="F256" s="321"/>
      <c r="G256" s="321"/>
    </row>
    <row r="257" spans="1:7" x14ac:dyDescent="0.25">
      <c r="A257" s="288">
        <v>4262</v>
      </c>
      <c r="B257" s="289" t="s">
        <v>248</v>
      </c>
      <c r="C257" s="290">
        <v>250</v>
      </c>
      <c r="D257" s="355">
        <v>0</v>
      </c>
      <c r="E257" s="330">
        <f t="shared" si="22"/>
        <v>0</v>
      </c>
      <c r="F257" s="321"/>
      <c r="G257" s="321"/>
    </row>
    <row r="258" spans="1:7" ht="15.75" customHeight="1" x14ac:dyDescent="0.25">
      <c r="A258" s="282">
        <v>45</v>
      </c>
      <c r="B258" s="279" t="s">
        <v>250</v>
      </c>
      <c r="C258" s="283">
        <f>C259</f>
        <v>250</v>
      </c>
      <c r="D258" s="363">
        <f>D259</f>
        <v>0</v>
      </c>
      <c r="E258" s="330">
        <f t="shared" si="22"/>
        <v>0</v>
      </c>
      <c r="F258" s="321"/>
      <c r="G258" s="321"/>
    </row>
    <row r="259" spans="1:7" x14ac:dyDescent="0.25">
      <c r="A259" s="285">
        <v>453</v>
      </c>
      <c r="B259" s="281" t="s">
        <v>480</v>
      </c>
      <c r="C259" s="286">
        <f>C260</f>
        <v>250</v>
      </c>
      <c r="D259" s="356">
        <f>D260</f>
        <v>0</v>
      </c>
      <c r="E259" s="330">
        <f t="shared" si="22"/>
        <v>0</v>
      </c>
      <c r="F259" s="321"/>
      <c r="G259" s="321"/>
    </row>
    <row r="260" spans="1:7" x14ac:dyDescent="0.25">
      <c r="A260" s="306">
        <v>4531</v>
      </c>
      <c r="B260" s="307" t="s">
        <v>579</v>
      </c>
      <c r="C260" s="308">
        <v>250</v>
      </c>
      <c r="D260" s="361">
        <v>0</v>
      </c>
      <c r="E260" s="331">
        <f t="shared" si="22"/>
        <v>0</v>
      </c>
      <c r="F260" s="321"/>
      <c r="G260" s="321"/>
    </row>
    <row r="261" spans="1:7" x14ac:dyDescent="0.25">
      <c r="A261" s="234" t="s">
        <v>533</v>
      </c>
      <c r="B261" s="235" t="s">
        <v>582</v>
      </c>
      <c r="C261" s="236">
        <f>C262</f>
        <v>5000</v>
      </c>
      <c r="D261" s="339">
        <f>D262+D267</f>
        <v>35930.21</v>
      </c>
      <c r="E261" s="236">
        <f>SUM(D261/C261*100)</f>
        <v>718.60419999999999</v>
      </c>
      <c r="F261" s="321"/>
      <c r="G261" s="321"/>
    </row>
    <row r="262" spans="1:7" x14ac:dyDescent="0.25">
      <c r="A262" s="436">
        <v>52</v>
      </c>
      <c r="B262" s="436" t="s">
        <v>63</v>
      </c>
      <c r="C262" s="437">
        <f t="shared" ref="C262:D262" si="23">SUM(C263)</f>
        <v>5000</v>
      </c>
      <c r="D262" s="438">
        <f t="shared" si="23"/>
        <v>0</v>
      </c>
      <c r="E262" s="437">
        <f t="shared" ref="E262:E263" si="24">(D262/C262)*100</f>
        <v>0</v>
      </c>
      <c r="F262" s="321"/>
      <c r="G262" s="321"/>
    </row>
    <row r="263" spans="1:7" x14ac:dyDescent="0.25">
      <c r="A263" s="241">
        <v>4</v>
      </c>
      <c r="B263" s="242" t="s">
        <v>227</v>
      </c>
      <c r="C263" s="243">
        <f>C264</f>
        <v>5000</v>
      </c>
      <c r="D263" s="341">
        <f>D264</f>
        <v>0</v>
      </c>
      <c r="E263" s="243">
        <f t="shared" si="24"/>
        <v>0</v>
      </c>
      <c r="F263" s="321"/>
      <c r="G263" s="321"/>
    </row>
    <row r="264" spans="1:7" x14ac:dyDescent="0.25">
      <c r="A264" s="333">
        <v>42</v>
      </c>
      <c r="B264" s="334" t="s">
        <v>234</v>
      </c>
      <c r="C264" s="335">
        <f>C265</f>
        <v>5000</v>
      </c>
      <c r="D264" s="364">
        <v>0</v>
      </c>
      <c r="E264" s="336">
        <f>(D264/C264)*100</f>
        <v>0</v>
      </c>
      <c r="F264" s="321"/>
      <c r="G264" s="321"/>
    </row>
    <row r="265" spans="1:7" x14ac:dyDescent="0.25">
      <c r="A265" s="297">
        <v>422</v>
      </c>
      <c r="B265" s="298" t="s">
        <v>240</v>
      </c>
      <c r="C265" s="299">
        <f>C266+C275+C277+C278+C276</f>
        <v>5000</v>
      </c>
      <c r="D265" s="354">
        <f>D266</f>
        <v>0</v>
      </c>
      <c r="E265" s="329">
        <f t="shared" ref="E265:E268" si="25">(D265/C265)*100</f>
        <v>0</v>
      </c>
      <c r="F265" s="321"/>
      <c r="G265" s="321"/>
    </row>
    <row r="266" spans="1:7" x14ac:dyDescent="0.25">
      <c r="A266" s="306">
        <v>4221</v>
      </c>
      <c r="B266" s="307" t="s">
        <v>242</v>
      </c>
      <c r="C266" s="308">
        <v>5000</v>
      </c>
      <c r="D266" s="361">
        <v>0</v>
      </c>
      <c r="E266" s="331">
        <f t="shared" si="25"/>
        <v>0</v>
      </c>
    </row>
    <row r="267" spans="1:7" x14ac:dyDescent="0.25">
      <c r="A267" s="439">
        <v>61</v>
      </c>
      <c r="B267" s="440" t="s">
        <v>486</v>
      </c>
      <c r="C267" s="441">
        <f>C268+C269</f>
        <v>0</v>
      </c>
      <c r="D267" s="442">
        <f t="shared" ref="D267" si="26">SUM(D269)</f>
        <v>35930.21</v>
      </c>
      <c r="E267" s="443">
        <v>0</v>
      </c>
    </row>
    <row r="268" spans="1:7" x14ac:dyDescent="0.25">
      <c r="A268" s="241">
        <v>4</v>
      </c>
      <c r="B268" s="242" t="s">
        <v>227</v>
      </c>
      <c r="C268" s="243">
        <v>0</v>
      </c>
      <c r="D268" s="341">
        <f>D269</f>
        <v>35930.21</v>
      </c>
      <c r="E268" s="243">
        <v>0</v>
      </c>
    </row>
    <row r="269" spans="1:7" x14ac:dyDescent="0.25">
      <c r="A269" s="333">
        <v>42</v>
      </c>
      <c r="B269" s="334" t="s">
        <v>234</v>
      </c>
      <c r="C269" s="335">
        <f>C270</f>
        <v>0</v>
      </c>
      <c r="D269" s="364">
        <f>D270+D272</f>
        <v>35930.21</v>
      </c>
      <c r="E269" s="336">
        <v>0</v>
      </c>
    </row>
    <row r="270" spans="1:7" x14ac:dyDescent="0.25">
      <c r="A270" s="297">
        <v>422</v>
      </c>
      <c r="B270" s="298" t="s">
        <v>240</v>
      </c>
      <c r="C270" s="299">
        <f>C271+C280+C282+C283+C281</f>
        <v>0</v>
      </c>
      <c r="D270" s="354">
        <f>D271</f>
        <v>3039.39</v>
      </c>
      <c r="E270" s="329">
        <v>0</v>
      </c>
    </row>
    <row r="271" spans="1:7" x14ac:dyDescent="0.25">
      <c r="A271" s="288">
        <v>4227</v>
      </c>
      <c r="B271" s="289" t="s">
        <v>362</v>
      </c>
      <c r="C271" s="290">
        <v>0</v>
      </c>
      <c r="D271" s="355">
        <v>3039.39</v>
      </c>
      <c r="E271" s="330">
        <v>0</v>
      </c>
    </row>
    <row r="272" spans="1:7" x14ac:dyDescent="0.25">
      <c r="A272" s="444">
        <v>423</v>
      </c>
      <c r="B272" s="445" t="s">
        <v>445</v>
      </c>
      <c r="C272" s="446">
        <v>0</v>
      </c>
      <c r="D272" s="447">
        <f>D273+D274</f>
        <v>32890.82</v>
      </c>
      <c r="E272" s="448">
        <v>0</v>
      </c>
    </row>
    <row r="273" spans="1:5" x14ac:dyDescent="0.25">
      <c r="A273" s="415">
        <v>4231</v>
      </c>
      <c r="B273" s="416" t="s">
        <v>366</v>
      </c>
      <c r="C273" s="417">
        <v>0</v>
      </c>
      <c r="D273" s="418">
        <v>30913.66</v>
      </c>
      <c r="E273" s="330">
        <v>0</v>
      </c>
    </row>
    <row r="274" spans="1:5" x14ac:dyDescent="0.25">
      <c r="A274" s="415">
        <v>4233</v>
      </c>
      <c r="B274" s="416" t="s">
        <v>368</v>
      </c>
      <c r="C274" s="417">
        <v>0</v>
      </c>
      <c r="D274" s="418">
        <v>1977.16</v>
      </c>
      <c r="E274" s="330">
        <v>0</v>
      </c>
    </row>
    <row r="275" spans="1:5" x14ac:dyDescent="0.25">
      <c r="A275" s="234" t="s">
        <v>534</v>
      </c>
      <c r="B275" s="235" t="s">
        <v>581</v>
      </c>
      <c r="C275" s="236">
        <f>C276</f>
        <v>0</v>
      </c>
      <c r="D275" s="339">
        <f>D276</f>
        <v>300</v>
      </c>
      <c r="E275" s="236">
        <v>0</v>
      </c>
    </row>
    <row r="276" spans="1:5" x14ac:dyDescent="0.25">
      <c r="A276" s="436">
        <v>31</v>
      </c>
      <c r="B276" s="237" t="s">
        <v>485</v>
      </c>
      <c r="C276" s="437">
        <f t="shared" ref="C276:D276" si="27">SUM(C277)</f>
        <v>0</v>
      </c>
      <c r="D276" s="438">
        <f t="shared" si="27"/>
        <v>300</v>
      </c>
      <c r="E276" s="437">
        <v>0</v>
      </c>
    </row>
    <row r="277" spans="1:5" x14ac:dyDescent="0.25">
      <c r="A277" s="241">
        <v>5</v>
      </c>
      <c r="B277" s="242" t="s">
        <v>592</v>
      </c>
      <c r="C277" s="243">
        <f>C278</f>
        <v>0</v>
      </c>
      <c r="D277" s="341">
        <f>D278</f>
        <v>300</v>
      </c>
      <c r="E277" s="243">
        <v>0</v>
      </c>
    </row>
    <row r="278" spans="1:5" x14ac:dyDescent="0.25">
      <c r="A278" s="333">
        <v>51</v>
      </c>
      <c r="B278" s="334" t="s">
        <v>594</v>
      </c>
      <c r="C278" s="335">
        <f>C279</f>
        <v>0</v>
      </c>
      <c r="D278" s="364">
        <f>D279</f>
        <v>300</v>
      </c>
      <c r="E278" s="336">
        <v>0</v>
      </c>
    </row>
    <row r="279" spans="1:5" x14ac:dyDescent="0.25">
      <c r="A279" s="297">
        <v>518</v>
      </c>
      <c r="B279" s="298" t="s">
        <v>593</v>
      </c>
      <c r="C279" s="299">
        <f>C280+C281+C283+C284+C282</f>
        <v>0</v>
      </c>
      <c r="D279" s="354">
        <f>D280</f>
        <v>300</v>
      </c>
      <c r="E279" s="329">
        <v>0</v>
      </c>
    </row>
    <row r="280" spans="1:5" x14ac:dyDescent="0.25">
      <c r="A280" s="306">
        <v>5183</v>
      </c>
      <c r="B280" s="307" t="s">
        <v>593</v>
      </c>
      <c r="C280" s="308">
        <v>0</v>
      </c>
      <c r="D280" s="361">
        <v>300</v>
      </c>
      <c r="E280" s="331">
        <v>0</v>
      </c>
    </row>
  </sheetData>
  <autoFilter ref="A5:E280" xr:uid="{F47FCB46-A87D-444A-9FF2-B3BC01E28C4F}">
    <filterColumn colId="0" showButton="0"/>
  </autoFilter>
  <mergeCells count="3">
    <mergeCell ref="A1:E1"/>
    <mergeCell ref="A2:E2"/>
    <mergeCell ref="A5:B5"/>
  </mergeCells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II.POSEBNI DIO 08006</vt:lpstr>
      <vt:lpstr>'A.1 PRIHODI EK'!Print_Titles</vt:lpstr>
      <vt:lpstr>'A.1 RASHODI EK'!Print_Titles</vt:lpstr>
      <vt:lpstr>'A.2 PRIHODI I RASHODI IF'!Print_Titles</vt:lpstr>
      <vt:lpstr>'B.1 RAČUN FINANC EK'!Print_Titles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Borzić</cp:lastModifiedBy>
  <cp:lastPrinted>2025-03-18T08:39:39Z</cp:lastPrinted>
  <dcterms:created xsi:type="dcterms:W3CDTF">2024-02-22T20:30:43Z</dcterms:created>
  <dcterms:modified xsi:type="dcterms:W3CDTF">2025-03-18T08:40:48Z</dcterms:modified>
</cp:coreProperties>
</file>